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160" tabRatio="757"/>
  </bookViews>
  <sheets>
    <sheet name="Global" sheetId="1" r:id="rId1"/>
    <sheet name="ressources" sheetId="2" r:id="rId2"/>
    <sheet name="pôles &amp; actions" sheetId="3" r:id="rId3"/>
    <sheet name="Instances" sheetId="4" r:id="rId4"/>
    <sheet name="fonctionnement" sheetId="5" r:id="rId5"/>
    <sheet name="Focus CPO 2022" sheetId="24" r:id="rId6"/>
  </sheets>
  <definedNames>
    <definedName name="Print_Area" localSheetId="4">fonctionnement!$A$3:$AF$40</definedName>
    <definedName name="Print_Area" localSheetId="0">Global!$A$3:$AL$11</definedName>
    <definedName name="Print_Area" localSheetId="3">Instances!$A$3:$AF$35</definedName>
    <definedName name="Print_Area" localSheetId="2">'pôles &amp; actions'!$A$154:$AN$197</definedName>
    <definedName name="Print_Area" localSheetId="1">ressources!$A$3:$AF$27</definedName>
    <definedName name="zimp0011" localSheetId="1">ressources!$A$3:$AF$27</definedName>
    <definedName name="zimp01" localSheetId="1">ressources!$A$3:$AF$27</definedName>
    <definedName name="zimp020" localSheetId="1">ressources!$A$3:$AF$27</definedName>
    <definedName name="zimp21" localSheetId="2">'pôles &amp; actions'!$A$3:$AN$23</definedName>
    <definedName name="zimp22" localSheetId="2">'pôles &amp; actions'!$A$3:$AN$23</definedName>
    <definedName name="zimp23" localSheetId="2">'pôles &amp; actions'!$A$24:$AN$67</definedName>
    <definedName name="zimp24" localSheetId="2">'pôles &amp; actions'!$A$68:$AN$115</definedName>
    <definedName name="zimp25" localSheetId="2">'pôles &amp; actions'!$A$3:$AN$4</definedName>
    <definedName name="zimp26" localSheetId="2">'pôles &amp; actions'!$A$116:$AN$153</definedName>
    <definedName name="zimp30" localSheetId="4">fonctionnement!$A$3:$AF$40</definedName>
    <definedName name="zimp30" localSheetId="3">Instances!$A$3:$AF$35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3" l="1"/>
  <c r="V36" i="3"/>
  <c r="BM45" i="5" l="1"/>
  <c r="AY45" i="5"/>
  <c r="AR45" i="5"/>
  <c r="AK45" i="5"/>
  <c r="X45" i="5"/>
  <c r="BM43" i="4"/>
  <c r="BM42" i="4"/>
  <c r="BM41" i="4"/>
  <c r="BM40" i="4"/>
  <c r="BM39" i="4"/>
  <c r="BM38" i="4"/>
  <c r="AY42" i="4"/>
  <c r="AY43" i="4" s="1"/>
  <c r="AY41" i="4"/>
  <c r="AY40" i="4"/>
  <c r="AY39" i="4"/>
  <c r="AY38" i="4"/>
  <c r="AR43" i="4"/>
  <c r="AR42" i="4"/>
  <c r="AR41" i="4"/>
  <c r="AR40" i="4"/>
  <c r="AR39" i="4"/>
  <c r="AR38" i="4"/>
  <c r="AK42" i="4"/>
  <c r="AK41" i="4"/>
  <c r="AK40" i="4"/>
  <c r="AK39" i="4"/>
  <c r="AK43" i="4" s="1"/>
  <c r="AK38" i="4"/>
  <c r="X38" i="4"/>
  <c r="BM207" i="3"/>
  <c r="BM206" i="3"/>
  <c r="BM205" i="3"/>
  <c r="BM204" i="3"/>
  <c r="BM203" i="3"/>
  <c r="BM201" i="3"/>
  <c r="BM200" i="3"/>
  <c r="AY207" i="3"/>
  <c r="AY206" i="3"/>
  <c r="AY205" i="3"/>
  <c r="AY204" i="3"/>
  <c r="AY203" i="3"/>
  <c r="AY200" i="3"/>
  <c r="AR207" i="3"/>
  <c r="AR206" i="3"/>
  <c r="AR205" i="3"/>
  <c r="AR204" i="3"/>
  <c r="AR203" i="3"/>
  <c r="AR201" i="3"/>
  <c r="AR200" i="3"/>
  <c r="AK207" i="3"/>
  <c r="AK206" i="3"/>
  <c r="AK205" i="3"/>
  <c r="AK204" i="3"/>
  <c r="AK203" i="3"/>
  <c r="AK200" i="3"/>
  <c r="X200" i="3"/>
  <c r="X36" i="2"/>
  <c r="BM40" i="2"/>
  <c r="BM39" i="2"/>
  <c r="BM38" i="2"/>
  <c r="BM37" i="2"/>
  <c r="BM36" i="2"/>
  <c r="AY40" i="2"/>
  <c r="AY39" i="2"/>
  <c r="AY38" i="2"/>
  <c r="AY37" i="2"/>
  <c r="AY36" i="2"/>
  <c r="AR40" i="2"/>
  <c r="AR39" i="2"/>
  <c r="AR38" i="2"/>
  <c r="AR37" i="2"/>
  <c r="AR36" i="2"/>
  <c r="AK36" i="2"/>
  <c r="AK40" i="2"/>
  <c r="AK39" i="2"/>
  <c r="AK38" i="2"/>
  <c r="AK37" i="2"/>
  <c r="G5" i="24"/>
  <c r="L5" i="24"/>
  <c r="R5" i="24"/>
  <c r="R10" i="24" s="1"/>
  <c r="Q18" i="24" s="1"/>
  <c r="G6" i="24"/>
  <c r="G7" i="24"/>
  <c r="G10" i="24" s="1"/>
  <c r="M7" i="24"/>
  <c r="N7" i="24"/>
  <c r="Q7" i="24"/>
  <c r="G8" i="24"/>
  <c r="G9" i="24"/>
  <c r="B10" i="24"/>
  <c r="J10" i="24"/>
  <c r="K10" i="24"/>
  <c r="H11" i="24"/>
  <c r="G12" i="24"/>
  <c r="D12" i="24" s="1"/>
  <c r="H12" i="24" s="1"/>
  <c r="S12" i="24"/>
  <c r="G13" i="24"/>
  <c r="D13" i="24" s="1"/>
  <c r="H13" i="24" s="1"/>
  <c r="S13" i="24"/>
  <c r="S14" i="24"/>
  <c r="AX33" i="5"/>
  <c r="AW33" i="5"/>
  <c r="AX66" i="3"/>
  <c r="AW66" i="3"/>
  <c r="AY86" i="3"/>
  <c r="AY87" i="3"/>
  <c r="AY88" i="3"/>
  <c r="AY89" i="3"/>
  <c r="AY90" i="3"/>
  <c r="AY91" i="3"/>
  <c r="AY143" i="3"/>
  <c r="AY144" i="3"/>
  <c r="AX172" i="3"/>
  <c r="AW172" i="3"/>
  <c r="AX26" i="2"/>
  <c r="AW26" i="2"/>
  <c r="AW27" i="2" s="1"/>
  <c r="AX20" i="2"/>
  <c r="AW20" i="2"/>
  <c r="AX13" i="2"/>
  <c r="AW13" i="2"/>
  <c r="D5" i="24" l="1"/>
  <c r="D7" i="24"/>
  <c r="H7" i="24" s="1"/>
  <c r="P7" i="24" s="1"/>
  <c r="S7" i="24" s="1"/>
  <c r="D9" i="24"/>
  <c r="D6" i="24"/>
  <c r="H6" i="24" s="1"/>
  <c r="P6" i="24" s="1"/>
  <c r="D8" i="24"/>
  <c r="H8" i="24" s="1"/>
  <c r="P8" i="24" s="1"/>
  <c r="H5" i="24" l="1"/>
  <c r="D10" i="24"/>
  <c r="P5" i="24" l="1"/>
  <c r="S5" i="24" s="1"/>
  <c r="S10" i="24" s="1"/>
  <c r="H10" i="24"/>
  <c r="P10" i="24" s="1"/>
  <c r="M5" i="24"/>
  <c r="Q5" i="24" s="1"/>
  <c r="Q10" i="24" s="1"/>
  <c r="Q17" i="24" s="1"/>
  <c r="BK25" i="2" l="1"/>
  <c r="BL18" i="2"/>
  <c r="BM16" i="2"/>
  <c r="BK21" i="5" l="1"/>
  <c r="BL189" i="3"/>
  <c r="BK189" i="3"/>
  <c r="BK169" i="3"/>
  <c r="BK162" i="3"/>
  <c r="BL161" i="3"/>
  <c r="BK161" i="3"/>
  <c r="BL149" i="3"/>
  <c r="BK149" i="3"/>
  <c r="BL146" i="3"/>
  <c r="BK146" i="3"/>
  <c r="BL142" i="3"/>
  <c r="BK142" i="3"/>
  <c r="BL140" i="3"/>
  <c r="BK140" i="3"/>
  <c r="BG130" i="3"/>
  <c r="BK119" i="3"/>
  <c r="BL63" i="3"/>
  <c r="BK62" i="3"/>
  <c r="BL48" i="3"/>
  <c r="BK48" i="3"/>
  <c r="BL38" i="3"/>
  <c r="BK38" i="3"/>
  <c r="BK26" i="3"/>
  <c r="BK12" i="3"/>
  <c r="BL22" i="2"/>
  <c r="BK10" i="2"/>
  <c r="BD65" i="3"/>
  <c r="BE65" i="3"/>
  <c r="BM65" i="3"/>
  <c r="AR65" i="3"/>
  <c r="BD58" i="3"/>
  <c r="BE58" i="3"/>
  <c r="AR58" i="3"/>
  <c r="BF65" i="3" l="1"/>
  <c r="BG65" i="3" s="1"/>
  <c r="BF58" i="3"/>
  <c r="BG58" i="3" s="1"/>
  <c r="BM157" i="3"/>
  <c r="BD157" i="3"/>
  <c r="BE157" i="3"/>
  <c r="AR157" i="3"/>
  <c r="BF157" i="3" l="1"/>
  <c r="BG157" i="3" s="1"/>
  <c r="BL34" i="4" l="1"/>
  <c r="BK34" i="4"/>
  <c r="BM33" i="4"/>
  <c r="BM32" i="4"/>
  <c r="BM31" i="4"/>
  <c r="BM30" i="4"/>
  <c r="BM29" i="4"/>
  <c r="BM28" i="4"/>
  <c r="BM27" i="4"/>
  <c r="BM26" i="4"/>
  <c r="BM25" i="4"/>
  <c r="BL23" i="4"/>
  <c r="BK23" i="4"/>
  <c r="BM22" i="4"/>
  <c r="BM21" i="4"/>
  <c r="BM20" i="4"/>
  <c r="BM19" i="4"/>
  <c r="BM18" i="4"/>
  <c r="BM17" i="4"/>
  <c r="BL16" i="4"/>
  <c r="BK16" i="4"/>
  <c r="BM16" i="4" s="1"/>
  <c r="BM15" i="4"/>
  <c r="BM14" i="4"/>
  <c r="BM13" i="4"/>
  <c r="BM12" i="4"/>
  <c r="BM11" i="4"/>
  <c r="BL10" i="4"/>
  <c r="BK10" i="4"/>
  <c r="BM9" i="4"/>
  <c r="BM8" i="4"/>
  <c r="BM7" i="4"/>
  <c r="BM6" i="4"/>
  <c r="BM5" i="4"/>
  <c r="AY6" i="4"/>
  <c r="AY7" i="4"/>
  <c r="AY8" i="4"/>
  <c r="AY9" i="4"/>
  <c r="AY11" i="4"/>
  <c r="AY12" i="4"/>
  <c r="AY13" i="4"/>
  <c r="AY14" i="4"/>
  <c r="AY15" i="4"/>
  <c r="AY17" i="4"/>
  <c r="AY18" i="4"/>
  <c r="AY19" i="4"/>
  <c r="AY20" i="4"/>
  <c r="AY21" i="4"/>
  <c r="AY22" i="4"/>
  <c r="AY25" i="4"/>
  <c r="AY26" i="4"/>
  <c r="AY27" i="4"/>
  <c r="AY28" i="4"/>
  <c r="AY29" i="4"/>
  <c r="AY30" i="4"/>
  <c r="AY31" i="4"/>
  <c r="AY32" i="4"/>
  <c r="AY33" i="4"/>
  <c r="AY5" i="4"/>
  <c r="AX34" i="4"/>
  <c r="AW34" i="4"/>
  <c r="AX23" i="4"/>
  <c r="AW23" i="4"/>
  <c r="AX16" i="4"/>
  <c r="AW16" i="4"/>
  <c r="AX10" i="4"/>
  <c r="AW10" i="4"/>
  <c r="BM178" i="3"/>
  <c r="AR178" i="3"/>
  <c r="BM195" i="3"/>
  <c r="BM194" i="3"/>
  <c r="BM193" i="3"/>
  <c r="BM192" i="3"/>
  <c r="BM191" i="3"/>
  <c r="BM190" i="3"/>
  <c r="BL196" i="3"/>
  <c r="BM188" i="3"/>
  <c r="BM187" i="3"/>
  <c r="BM186" i="3"/>
  <c r="BM185" i="3"/>
  <c r="BM184" i="3"/>
  <c r="BM183" i="3"/>
  <c r="BM182" i="3"/>
  <c r="BM181" i="3"/>
  <c r="BM180" i="3"/>
  <c r="BM179" i="3"/>
  <c r="BM177" i="3"/>
  <c r="BM173" i="3"/>
  <c r="BL172" i="3"/>
  <c r="BK172" i="3"/>
  <c r="BM171" i="3"/>
  <c r="BM170" i="3"/>
  <c r="BM169" i="3"/>
  <c r="BM168" i="3"/>
  <c r="BM167" i="3"/>
  <c r="BM166" i="3"/>
  <c r="BM165" i="3"/>
  <c r="BM164" i="3"/>
  <c r="BM163" i="3"/>
  <c r="BM162" i="3"/>
  <c r="BM160" i="3"/>
  <c r="BM159" i="3"/>
  <c r="BM158" i="3"/>
  <c r="BM156" i="3"/>
  <c r="BM155" i="3"/>
  <c r="BM152" i="3"/>
  <c r="BM151" i="3"/>
  <c r="BM150" i="3"/>
  <c r="BM149" i="3"/>
  <c r="BM148" i="3"/>
  <c r="BM147" i="3"/>
  <c r="BM145" i="3"/>
  <c r="BM144" i="3"/>
  <c r="BM143" i="3"/>
  <c r="BM141" i="3"/>
  <c r="BM139" i="3"/>
  <c r="BM138" i="3"/>
  <c r="BM137" i="3"/>
  <c r="BM136" i="3"/>
  <c r="BM135" i="3"/>
  <c r="BM134" i="3"/>
  <c r="BM133" i="3"/>
  <c r="BM132" i="3"/>
  <c r="BM131" i="3"/>
  <c r="BL128" i="3"/>
  <c r="BM127" i="3"/>
  <c r="BM126" i="3"/>
  <c r="BM125" i="3"/>
  <c r="BM124" i="3"/>
  <c r="BM123" i="3"/>
  <c r="BM122" i="3"/>
  <c r="BK128" i="3"/>
  <c r="BM120" i="3"/>
  <c r="BM119" i="3"/>
  <c r="BM118" i="3"/>
  <c r="BM117" i="3"/>
  <c r="BM116" i="3"/>
  <c r="BL115" i="3"/>
  <c r="BK115" i="3"/>
  <c r="BM114" i="3"/>
  <c r="BM113" i="3"/>
  <c r="BM112" i="3"/>
  <c r="BM111" i="3"/>
  <c r="BM110" i="3"/>
  <c r="BM109" i="3"/>
  <c r="BM108" i="3"/>
  <c r="BL107" i="3"/>
  <c r="BK107" i="3"/>
  <c r="BM106" i="3"/>
  <c r="BM105" i="3"/>
  <c r="BM104" i="3"/>
  <c r="BL103" i="3"/>
  <c r="BK103" i="3"/>
  <c r="BM102" i="3"/>
  <c r="BM101" i="3"/>
  <c r="BM100" i="3"/>
  <c r="BM99" i="3"/>
  <c r="BM98" i="3"/>
  <c r="BM97" i="3"/>
  <c r="BL92" i="3"/>
  <c r="BK92" i="3"/>
  <c r="BM91" i="3"/>
  <c r="BM90" i="3"/>
  <c r="BM89" i="3"/>
  <c r="BM88" i="3"/>
  <c r="BM87" i="3"/>
  <c r="BM86" i="3"/>
  <c r="BL85" i="3"/>
  <c r="BK85" i="3"/>
  <c r="BM84" i="3"/>
  <c r="BM83" i="3"/>
  <c r="BM82" i="3"/>
  <c r="BM81" i="3"/>
  <c r="BM80" i="3"/>
  <c r="BM79" i="3"/>
  <c r="BM78" i="3"/>
  <c r="BM77" i="3"/>
  <c r="BL76" i="3"/>
  <c r="BK76" i="3"/>
  <c r="BM75" i="3"/>
  <c r="BM74" i="3"/>
  <c r="BM73" i="3"/>
  <c r="BM72" i="3"/>
  <c r="BM71" i="3"/>
  <c r="BM70" i="3"/>
  <c r="BM69" i="3"/>
  <c r="BL66" i="3"/>
  <c r="BM64" i="3"/>
  <c r="BM63" i="3"/>
  <c r="BM62" i="3"/>
  <c r="BM61" i="3"/>
  <c r="BM60" i="3"/>
  <c r="BM59" i="3"/>
  <c r="BM57" i="3"/>
  <c r="BL56" i="3"/>
  <c r="BK56" i="3"/>
  <c r="BM55" i="3"/>
  <c r="BM54" i="3"/>
  <c r="BM53" i="3"/>
  <c r="BM52" i="3"/>
  <c r="BM51" i="3"/>
  <c r="BM50" i="3"/>
  <c r="BM49" i="3"/>
  <c r="BM48" i="3"/>
  <c r="BM47" i="3"/>
  <c r="BL46" i="3"/>
  <c r="BK46" i="3"/>
  <c r="BM45" i="3"/>
  <c r="BM44" i="3"/>
  <c r="BM43" i="3"/>
  <c r="BM42" i="3"/>
  <c r="BM41" i="3"/>
  <c r="BM40" i="3"/>
  <c r="BM39" i="3"/>
  <c r="BM38" i="3"/>
  <c r="BM37" i="3"/>
  <c r="BL36" i="3"/>
  <c r="BK36" i="3"/>
  <c r="BM35" i="3"/>
  <c r="BM34" i="3"/>
  <c r="BM33" i="3"/>
  <c r="BM32" i="3"/>
  <c r="BM31" i="3"/>
  <c r="BM30" i="3"/>
  <c r="BM29" i="3"/>
  <c r="BM28" i="3"/>
  <c r="BM27" i="3"/>
  <c r="BM26" i="3"/>
  <c r="BM25" i="3"/>
  <c r="BL22" i="3"/>
  <c r="BK22" i="3"/>
  <c r="BM21" i="3"/>
  <c r="BM20" i="3"/>
  <c r="BM19" i="3"/>
  <c r="BM18" i="3"/>
  <c r="BM17" i="3"/>
  <c r="BM16" i="3"/>
  <c r="BM15" i="3"/>
  <c r="BM14" i="3"/>
  <c r="BM13" i="3"/>
  <c r="BM12" i="3"/>
  <c r="BM11" i="3"/>
  <c r="BL10" i="3"/>
  <c r="BK10" i="3"/>
  <c r="BM9" i="3"/>
  <c r="BM8" i="3"/>
  <c r="BM7" i="3"/>
  <c r="BM6" i="3"/>
  <c r="BM5" i="3"/>
  <c r="AY179" i="3"/>
  <c r="AY180" i="3"/>
  <c r="AY181" i="3"/>
  <c r="AY182" i="3"/>
  <c r="AY183" i="3"/>
  <c r="AY184" i="3"/>
  <c r="AY185" i="3"/>
  <c r="AY186" i="3"/>
  <c r="AY187" i="3"/>
  <c r="AY188" i="3"/>
  <c r="AY190" i="3"/>
  <c r="AY191" i="3"/>
  <c r="AY192" i="3"/>
  <c r="AY193" i="3"/>
  <c r="AY194" i="3"/>
  <c r="AY195" i="3"/>
  <c r="AY178" i="3"/>
  <c r="AY158" i="3"/>
  <c r="AY159" i="3"/>
  <c r="AY160" i="3"/>
  <c r="AY162" i="3"/>
  <c r="AY163" i="3"/>
  <c r="AY164" i="3"/>
  <c r="AY165" i="3"/>
  <c r="AY166" i="3"/>
  <c r="AY167" i="3"/>
  <c r="AY168" i="3"/>
  <c r="AY169" i="3"/>
  <c r="AY170" i="3"/>
  <c r="AY171" i="3"/>
  <c r="AY172" i="3"/>
  <c r="AY173" i="3"/>
  <c r="AY156" i="3"/>
  <c r="AY133" i="3"/>
  <c r="AY134" i="3"/>
  <c r="AY135" i="3"/>
  <c r="AY136" i="3"/>
  <c r="AY137" i="3"/>
  <c r="AY138" i="3"/>
  <c r="AY139" i="3"/>
  <c r="AY141" i="3"/>
  <c r="AY145" i="3"/>
  <c r="AY146" i="3"/>
  <c r="AY147" i="3"/>
  <c r="AY148" i="3"/>
  <c r="AY150" i="3"/>
  <c r="AY151" i="3"/>
  <c r="AY152" i="3"/>
  <c r="AY132" i="3"/>
  <c r="AY99" i="3"/>
  <c r="AY100" i="3"/>
  <c r="AY101" i="3"/>
  <c r="AY102" i="3"/>
  <c r="AY104" i="3"/>
  <c r="AY105" i="3"/>
  <c r="AY106" i="3"/>
  <c r="AY108" i="3"/>
  <c r="AY109" i="3"/>
  <c r="AY110" i="3"/>
  <c r="AY111" i="3"/>
  <c r="AY112" i="3"/>
  <c r="AY113" i="3"/>
  <c r="AY114" i="3"/>
  <c r="AY98" i="3"/>
  <c r="AY71" i="3"/>
  <c r="AY72" i="3"/>
  <c r="AY73" i="3"/>
  <c r="AY74" i="3"/>
  <c r="AY75" i="3"/>
  <c r="AY77" i="3"/>
  <c r="AY78" i="3"/>
  <c r="AY79" i="3"/>
  <c r="AY80" i="3"/>
  <c r="AY81" i="3"/>
  <c r="AY82" i="3"/>
  <c r="AY83" i="3"/>
  <c r="AY84" i="3"/>
  <c r="AY93" i="3"/>
  <c r="AY94" i="3"/>
  <c r="AY70" i="3"/>
  <c r="AY27" i="3"/>
  <c r="AY28" i="3"/>
  <c r="AY29" i="3"/>
  <c r="AY30" i="3"/>
  <c r="AY31" i="3"/>
  <c r="AY32" i="3"/>
  <c r="AY33" i="3"/>
  <c r="AY34" i="3"/>
  <c r="AY35" i="3"/>
  <c r="AY37" i="3"/>
  <c r="AY38" i="3"/>
  <c r="AY39" i="3"/>
  <c r="AY40" i="3"/>
  <c r="AY41" i="3"/>
  <c r="AY42" i="3"/>
  <c r="AY43" i="3"/>
  <c r="AY44" i="3"/>
  <c r="AY45" i="3"/>
  <c r="AY47" i="3"/>
  <c r="AY48" i="3"/>
  <c r="AY49" i="3"/>
  <c r="AY50" i="3"/>
  <c r="AY51" i="3"/>
  <c r="AY52" i="3"/>
  <c r="AY53" i="3"/>
  <c r="AY54" i="3"/>
  <c r="AY55" i="3"/>
  <c r="AY57" i="3"/>
  <c r="AY59" i="3"/>
  <c r="AY60" i="3"/>
  <c r="AY61" i="3"/>
  <c r="AY62" i="3"/>
  <c r="AY63" i="3"/>
  <c r="AY64" i="3"/>
  <c r="AY26" i="3"/>
  <c r="AY6" i="3"/>
  <c r="AY7" i="3"/>
  <c r="AY8" i="3"/>
  <c r="AY9" i="3"/>
  <c r="AY11" i="3"/>
  <c r="AY12" i="3"/>
  <c r="AY13" i="3"/>
  <c r="AY14" i="3"/>
  <c r="AY15" i="3"/>
  <c r="AY16" i="3"/>
  <c r="AY17" i="3"/>
  <c r="AY18" i="3"/>
  <c r="AY19" i="3"/>
  <c r="AY20" i="3"/>
  <c r="AY21" i="3"/>
  <c r="AY5" i="3"/>
  <c r="AX189" i="3"/>
  <c r="AX196" i="3" s="1"/>
  <c r="AW189" i="3"/>
  <c r="AW196" i="3" s="1"/>
  <c r="AX161" i="3"/>
  <c r="AX174" i="3" s="1"/>
  <c r="AW161" i="3"/>
  <c r="AW174" i="3" s="1"/>
  <c r="AX149" i="3"/>
  <c r="AW149" i="3"/>
  <c r="AX142" i="3"/>
  <c r="AW142" i="3"/>
  <c r="AX140" i="3"/>
  <c r="AW140" i="3"/>
  <c r="AX128" i="3"/>
  <c r="AW128" i="3"/>
  <c r="AX115" i="3"/>
  <c r="AW115" i="3"/>
  <c r="AX107" i="3"/>
  <c r="AW107" i="3"/>
  <c r="AX103" i="3"/>
  <c r="AW103" i="3"/>
  <c r="AX92" i="3"/>
  <c r="AW92" i="3"/>
  <c r="AX85" i="3"/>
  <c r="AW85" i="3"/>
  <c r="AX76" i="3"/>
  <c r="AW76" i="3"/>
  <c r="AX56" i="3"/>
  <c r="AW56" i="3"/>
  <c r="AX46" i="3"/>
  <c r="AW46" i="3"/>
  <c r="AX36" i="3"/>
  <c r="AW36" i="3"/>
  <c r="AX22" i="3"/>
  <c r="AW22" i="3"/>
  <c r="AW23" i="3" s="1"/>
  <c r="AX10" i="3"/>
  <c r="AY10" i="3" s="1"/>
  <c r="AW10" i="3"/>
  <c r="AY92" i="3" l="1"/>
  <c r="BM34" i="4"/>
  <c r="BM146" i="3"/>
  <c r="AY85" i="3"/>
  <c r="BM85" i="3"/>
  <c r="BM103" i="3"/>
  <c r="AY140" i="3"/>
  <c r="AY46" i="3"/>
  <c r="AY103" i="3"/>
  <c r="AY36" i="3"/>
  <c r="AY56" i="3"/>
  <c r="AY76" i="3"/>
  <c r="AY107" i="3"/>
  <c r="AY128" i="3"/>
  <c r="AY142" i="3"/>
  <c r="AY174" i="3"/>
  <c r="BM115" i="3"/>
  <c r="AW153" i="3"/>
  <c r="BL23" i="3"/>
  <c r="BK153" i="3"/>
  <c r="AY34" i="4"/>
  <c r="AY115" i="3"/>
  <c r="AY196" i="3"/>
  <c r="AY16" i="4"/>
  <c r="AW67" i="3"/>
  <c r="AY66" i="3"/>
  <c r="BL174" i="3"/>
  <c r="AY149" i="3"/>
  <c r="BK67" i="3"/>
  <c r="BM46" i="3"/>
  <c r="AW24" i="4"/>
  <c r="AW35" i="4" s="1"/>
  <c r="AW8" i="1" s="1"/>
  <c r="AY22" i="3"/>
  <c r="AY189" i="3"/>
  <c r="AX95" i="3"/>
  <c r="AY161" i="3"/>
  <c r="BM22" i="3"/>
  <c r="BM107" i="3"/>
  <c r="BK174" i="3"/>
  <c r="AY23" i="4"/>
  <c r="BM23" i="4"/>
  <c r="BM76" i="3"/>
  <c r="BK24" i="4"/>
  <c r="BK35" i="4" s="1"/>
  <c r="BK8" i="1" s="1"/>
  <c r="BL24" i="4"/>
  <c r="BL35" i="4" s="1"/>
  <c r="BL8" i="1" s="1"/>
  <c r="BM10" i="4"/>
  <c r="AY10" i="4"/>
  <c r="AX24" i="4"/>
  <c r="BM172" i="3"/>
  <c r="BM142" i="3"/>
  <c r="BM140" i="3"/>
  <c r="BL153" i="3"/>
  <c r="BL129" i="3"/>
  <c r="BM92" i="3"/>
  <c r="BK95" i="3"/>
  <c r="BL95" i="3"/>
  <c r="BM56" i="3"/>
  <c r="BL67" i="3"/>
  <c r="BK23" i="3"/>
  <c r="BM189" i="3"/>
  <c r="BK196" i="3"/>
  <c r="BK129" i="3"/>
  <c r="BM128" i="3"/>
  <c r="BM10" i="3"/>
  <c r="BM36" i="3"/>
  <c r="BM161" i="3"/>
  <c r="BK66" i="3"/>
  <c r="BM66" i="3" s="1"/>
  <c r="BM121" i="3"/>
  <c r="AX153" i="3"/>
  <c r="AW129" i="3"/>
  <c r="AX129" i="3"/>
  <c r="AW95" i="3"/>
  <c r="AX67" i="3"/>
  <c r="AX23" i="3"/>
  <c r="AY23" i="3" s="1"/>
  <c r="AY201" i="3" s="1"/>
  <c r="AY38" i="5"/>
  <c r="BL39" i="5"/>
  <c r="BK39" i="5"/>
  <c r="BM39" i="5" s="1"/>
  <c r="BM49" i="5" s="1"/>
  <c r="BM38" i="5"/>
  <c r="BM37" i="5"/>
  <c r="BM36" i="5"/>
  <c r="BM35" i="5"/>
  <c r="BM34" i="5"/>
  <c r="BL33" i="5"/>
  <c r="BK33" i="5"/>
  <c r="BM32" i="5"/>
  <c r="BM31" i="5"/>
  <c r="BM30" i="5"/>
  <c r="BM29" i="5"/>
  <c r="BM28" i="5"/>
  <c r="BL27" i="5"/>
  <c r="BM26" i="5"/>
  <c r="BM25" i="5"/>
  <c r="BM24" i="5"/>
  <c r="BM23" i="5"/>
  <c r="BM22" i="5"/>
  <c r="BM21" i="5"/>
  <c r="BK27" i="5"/>
  <c r="BL20" i="5"/>
  <c r="BK20" i="5"/>
  <c r="BM19" i="5"/>
  <c r="BM18" i="5"/>
  <c r="BM17" i="5"/>
  <c r="BM16" i="5"/>
  <c r="BM15" i="5"/>
  <c r="BM14" i="5"/>
  <c r="BM13" i="5"/>
  <c r="BM12" i="5"/>
  <c r="BM11" i="5"/>
  <c r="BM10" i="5"/>
  <c r="BM9" i="5"/>
  <c r="BM8" i="5"/>
  <c r="BM7" i="5"/>
  <c r="BM6" i="5"/>
  <c r="BM5" i="5"/>
  <c r="AY35" i="5"/>
  <c r="AY36" i="5"/>
  <c r="AY37" i="5"/>
  <c r="AY34" i="5"/>
  <c r="AY29" i="5"/>
  <c r="AY30" i="5"/>
  <c r="AY31" i="5"/>
  <c r="AY32" i="5"/>
  <c r="AY28" i="5"/>
  <c r="AY22" i="5"/>
  <c r="AY23" i="5"/>
  <c r="AY24" i="5"/>
  <c r="AY25" i="5"/>
  <c r="AY26" i="5"/>
  <c r="AY21" i="5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5" i="5"/>
  <c r="AX39" i="5"/>
  <c r="AW39" i="5"/>
  <c r="AX27" i="5"/>
  <c r="AW27" i="5"/>
  <c r="AX20" i="5"/>
  <c r="AW20" i="5"/>
  <c r="BL26" i="2"/>
  <c r="BK26" i="2"/>
  <c r="BM25" i="2"/>
  <c r="BM24" i="2"/>
  <c r="BM23" i="2"/>
  <c r="BM22" i="2"/>
  <c r="BM21" i="2"/>
  <c r="BL20" i="2"/>
  <c r="BK20" i="2"/>
  <c r="BM19" i="2"/>
  <c r="BM18" i="2"/>
  <c r="BM15" i="2"/>
  <c r="BM14" i="2"/>
  <c r="BL13" i="2"/>
  <c r="BK13" i="2"/>
  <c r="BM12" i="2"/>
  <c r="BM10" i="2"/>
  <c r="BM9" i="2"/>
  <c r="BM8" i="2"/>
  <c r="BM7" i="2"/>
  <c r="BM6" i="2"/>
  <c r="BM5" i="2"/>
  <c r="AY25" i="2"/>
  <c r="AY24" i="2"/>
  <c r="AY23" i="2"/>
  <c r="AY22" i="2"/>
  <c r="AY21" i="2"/>
  <c r="AY19" i="2"/>
  <c r="AY18" i="2"/>
  <c r="AY17" i="2"/>
  <c r="AY16" i="2"/>
  <c r="AY15" i="2"/>
  <c r="AY14" i="2"/>
  <c r="AY12" i="2"/>
  <c r="AY11" i="2"/>
  <c r="AY10" i="2"/>
  <c r="AY9" i="2"/>
  <c r="AY8" i="2"/>
  <c r="AY7" i="2"/>
  <c r="AY6" i="2"/>
  <c r="AY5" i="2"/>
  <c r="AY24" i="4" l="1"/>
  <c r="AY39" i="5"/>
  <c r="AY49" i="5" s="1"/>
  <c r="BM174" i="3"/>
  <c r="BM23" i="3"/>
  <c r="BM95" i="3"/>
  <c r="AY129" i="3"/>
  <c r="AY20" i="2"/>
  <c r="BM27" i="5"/>
  <c r="BM47" i="5" s="1"/>
  <c r="BK197" i="3"/>
  <c r="BK7" i="1" s="1"/>
  <c r="AY67" i="3"/>
  <c r="AY202" i="3" s="1"/>
  <c r="AY208" i="3" s="1"/>
  <c r="AY33" i="5"/>
  <c r="AY48" i="5" s="1"/>
  <c r="AY50" i="5" s="1"/>
  <c r="AX35" i="4"/>
  <c r="BM33" i="5"/>
  <c r="BM48" i="5" s="1"/>
  <c r="AX197" i="3"/>
  <c r="AY153" i="3"/>
  <c r="AY13" i="2"/>
  <c r="AW197" i="3"/>
  <c r="AW7" i="1" s="1"/>
  <c r="AY95" i="3"/>
  <c r="BM35" i="4"/>
  <c r="BM8" i="1" s="1"/>
  <c r="BM24" i="4"/>
  <c r="BM20" i="2"/>
  <c r="AW6" i="1"/>
  <c r="AX27" i="2"/>
  <c r="AX6" i="1" s="1"/>
  <c r="BM153" i="3"/>
  <c r="BM129" i="3"/>
  <c r="BL197" i="3"/>
  <c r="BL7" i="1" s="1"/>
  <c r="BM67" i="3"/>
  <c r="BM202" i="3" s="1"/>
  <c r="BM208" i="3" s="1"/>
  <c r="BM196" i="3"/>
  <c r="BK40" i="5"/>
  <c r="BK9" i="1" s="1"/>
  <c r="BL40" i="5"/>
  <c r="BL9" i="1" s="1"/>
  <c r="BM20" i="5"/>
  <c r="BM46" i="5" s="1"/>
  <c r="AW40" i="5"/>
  <c r="AW9" i="1" s="1"/>
  <c r="AX40" i="5"/>
  <c r="AY27" i="5"/>
  <c r="AY47" i="5" s="1"/>
  <c r="AY20" i="5"/>
  <c r="AY46" i="5" s="1"/>
  <c r="BM26" i="2"/>
  <c r="BK27" i="2"/>
  <c r="BK6" i="1" s="1"/>
  <c r="BM13" i="2"/>
  <c r="BL27" i="2"/>
  <c r="BL6" i="1" s="1"/>
  <c r="AY26" i="2"/>
  <c r="T78" i="3"/>
  <c r="BE78" i="3"/>
  <c r="BD78" i="3"/>
  <c r="AR78" i="3"/>
  <c r="P78" i="3"/>
  <c r="BM50" i="5" l="1"/>
  <c r="AY27" i="2"/>
  <c r="AY6" i="1" s="1"/>
  <c r="BK11" i="1"/>
  <c r="BL11" i="1"/>
  <c r="AX7" i="1"/>
  <c r="AY197" i="3"/>
  <c r="AY7" i="1" s="1"/>
  <c r="AY35" i="4"/>
  <c r="AY8" i="1" s="1"/>
  <c r="AX8" i="1"/>
  <c r="AY40" i="5"/>
  <c r="AY9" i="1" s="1"/>
  <c r="AX9" i="1"/>
  <c r="BM197" i="3"/>
  <c r="BM7" i="1" s="1"/>
  <c r="BM40" i="5"/>
  <c r="BM9" i="1" s="1"/>
  <c r="BM27" i="2"/>
  <c r="BM6" i="1" s="1"/>
  <c r="BF78" i="3"/>
  <c r="BG78" i="3" s="1"/>
  <c r="AQ33" i="5"/>
  <c r="AP33" i="5"/>
  <c r="BM11" i="1" l="1"/>
  <c r="AX11" i="1"/>
  <c r="BD6" i="5"/>
  <c r="BE6" i="5"/>
  <c r="AR6" i="5"/>
  <c r="BE28" i="5"/>
  <c r="BD28" i="5"/>
  <c r="AR28" i="5"/>
  <c r="BF6" i="5" l="1"/>
  <c r="BG6" i="5" s="1"/>
  <c r="BF28" i="5"/>
  <c r="BG28" i="5" s="1"/>
  <c r="BG24" i="3"/>
  <c r="BG68" i="3"/>
  <c r="BG93" i="3"/>
  <c r="BG94" i="3"/>
  <c r="BG96" i="3"/>
  <c r="BG154" i="3"/>
  <c r="BG175" i="3"/>
  <c r="BG176" i="3"/>
  <c r="AP62" i="3"/>
  <c r="AP190" i="3"/>
  <c r="AP103" i="3"/>
  <c r="AT20" i="2"/>
  <c r="AT13" i="2"/>
  <c r="AR63" i="3"/>
  <c r="BG63" i="3" s="1"/>
  <c r="AP181" i="3"/>
  <c r="AK5" i="2"/>
  <c r="AK6" i="2"/>
  <c r="AK7" i="2"/>
  <c r="AK8" i="2"/>
  <c r="AK9" i="2"/>
  <c r="AK10" i="2"/>
  <c r="AK11" i="2"/>
  <c r="AK12" i="2"/>
  <c r="AK25" i="2"/>
  <c r="AK14" i="2"/>
  <c r="AK15" i="2"/>
  <c r="AK16" i="2"/>
  <c r="AK17" i="2"/>
  <c r="AK18" i="2"/>
  <c r="AK19" i="2"/>
  <c r="AK21" i="2"/>
  <c r="AK22" i="2"/>
  <c r="AK23" i="2"/>
  <c r="AK24" i="2"/>
  <c r="AJ39" i="5"/>
  <c r="AI39" i="5"/>
  <c r="AJ33" i="5"/>
  <c r="AI33" i="5"/>
  <c r="AJ27" i="5"/>
  <c r="AI27" i="5"/>
  <c r="AJ20" i="5"/>
  <c r="AI20" i="5"/>
  <c r="AJ34" i="4"/>
  <c r="AI34" i="4"/>
  <c r="AJ23" i="4"/>
  <c r="AI23" i="4"/>
  <c r="AJ16" i="4"/>
  <c r="AK16" i="4" s="1"/>
  <c r="AI16" i="4"/>
  <c r="AJ10" i="4"/>
  <c r="AI10" i="4"/>
  <c r="AJ189" i="3"/>
  <c r="AJ196" i="3" s="1"/>
  <c r="AI189" i="3"/>
  <c r="AI196" i="3" s="1"/>
  <c r="AJ172" i="3"/>
  <c r="AI172" i="3"/>
  <c r="AJ161" i="3"/>
  <c r="AI161" i="3"/>
  <c r="AJ149" i="3"/>
  <c r="AI149" i="3"/>
  <c r="AJ146" i="3"/>
  <c r="AI146" i="3"/>
  <c r="AJ142" i="3"/>
  <c r="AI142" i="3"/>
  <c r="AJ140" i="3"/>
  <c r="AI140" i="3"/>
  <c r="AJ128" i="3"/>
  <c r="AI128" i="3"/>
  <c r="AJ115" i="3"/>
  <c r="AI115" i="3"/>
  <c r="AJ107" i="3"/>
  <c r="AI107" i="3"/>
  <c r="AJ103" i="3"/>
  <c r="AI103" i="3"/>
  <c r="AJ92" i="3"/>
  <c r="AI92" i="3"/>
  <c r="AJ85" i="3"/>
  <c r="AI85" i="3"/>
  <c r="AJ76" i="3"/>
  <c r="AK76" i="3" s="1"/>
  <c r="AI76" i="3"/>
  <c r="AJ66" i="3"/>
  <c r="AI66" i="3"/>
  <c r="AJ56" i="3"/>
  <c r="AI56" i="3"/>
  <c r="AJ46" i="3"/>
  <c r="AI46" i="3"/>
  <c r="AJ36" i="3"/>
  <c r="AI36" i="3"/>
  <c r="AI22" i="3"/>
  <c r="AJ22" i="3"/>
  <c r="AJ10" i="3"/>
  <c r="AI10" i="3"/>
  <c r="AJ26" i="2"/>
  <c r="AI26" i="2"/>
  <c r="AJ20" i="2"/>
  <c r="AI20" i="2"/>
  <c r="AJ13" i="2"/>
  <c r="AI13" i="2"/>
  <c r="BD194" i="3"/>
  <c r="BD173" i="3"/>
  <c r="BD162" i="3"/>
  <c r="BD3" i="2"/>
  <c r="BE38" i="5"/>
  <c r="BD38" i="5"/>
  <c r="BE37" i="5"/>
  <c r="BD37" i="5"/>
  <c r="BE36" i="5"/>
  <c r="BD36" i="5"/>
  <c r="BE35" i="5"/>
  <c r="BD35" i="5"/>
  <c r="BE34" i="5"/>
  <c r="BD34" i="5"/>
  <c r="BE32" i="5"/>
  <c r="BD32" i="5"/>
  <c r="BE31" i="5"/>
  <c r="BD31" i="5"/>
  <c r="BE30" i="5"/>
  <c r="BD30" i="5"/>
  <c r="BE29" i="5"/>
  <c r="BD29" i="5"/>
  <c r="BE26" i="5"/>
  <c r="BD26" i="5"/>
  <c r="BE25" i="5"/>
  <c r="BD25" i="5"/>
  <c r="BE24" i="5"/>
  <c r="BD24" i="5"/>
  <c r="BE23" i="5"/>
  <c r="BD23" i="5"/>
  <c r="BE22" i="5"/>
  <c r="BD22" i="5"/>
  <c r="BE21" i="5"/>
  <c r="BD21" i="5"/>
  <c r="BE19" i="5"/>
  <c r="BD19" i="5"/>
  <c r="BE18" i="5"/>
  <c r="BD18" i="5"/>
  <c r="BE17" i="5"/>
  <c r="BD17" i="5"/>
  <c r="BE16" i="5"/>
  <c r="BD16" i="5"/>
  <c r="BE15" i="5"/>
  <c r="BD15" i="5"/>
  <c r="BE14" i="5"/>
  <c r="BD14" i="5"/>
  <c r="BE13" i="5"/>
  <c r="BD13" i="5"/>
  <c r="BE12" i="5"/>
  <c r="BD12" i="5"/>
  <c r="BE11" i="5"/>
  <c r="BD11" i="5"/>
  <c r="BE10" i="5"/>
  <c r="BD10" i="5"/>
  <c r="BE9" i="5"/>
  <c r="BD9" i="5"/>
  <c r="BE8" i="5"/>
  <c r="BD8" i="5"/>
  <c r="BE7" i="5"/>
  <c r="BD7" i="5"/>
  <c r="BE5" i="5"/>
  <c r="BD5" i="5"/>
  <c r="BD3" i="5"/>
  <c r="BE33" i="4"/>
  <c r="BD33" i="4"/>
  <c r="BE32" i="4"/>
  <c r="BD32" i="4"/>
  <c r="BE31" i="4"/>
  <c r="BD31" i="4"/>
  <c r="BE30" i="4"/>
  <c r="BD30" i="4"/>
  <c r="BE29" i="4"/>
  <c r="BD29" i="4"/>
  <c r="BE28" i="4"/>
  <c r="BD28" i="4"/>
  <c r="BE27" i="4"/>
  <c r="BD27" i="4"/>
  <c r="BE26" i="4"/>
  <c r="BD26" i="4"/>
  <c r="BE25" i="4"/>
  <c r="BD25" i="4"/>
  <c r="BE22" i="4"/>
  <c r="BD22" i="4"/>
  <c r="BE21" i="4"/>
  <c r="BD21" i="4"/>
  <c r="BE20" i="4"/>
  <c r="BD20" i="4"/>
  <c r="BE19" i="4"/>
  <c r="BD19" i="4"/>
  <c r="BE18" i="4"/>
  <c r="BD18" i="4"/>
  <c r="BE17" i="4"/>
  <c r="BD17" i="4"/>
  <c r="BE15" i="4"/>
  <c r="BD15" i="4"/>
  <c r="BE14" i="4"/>
  <c r="BD14" i="4"/>
  <c r="BE13" i="4"/>
  <c r="BD13" i="4"/>
  <c r="BE12" i="4"/>
  <c r="BD12" i="4"/>
  <c r="BE11" i="4"/>
  <c r="BD11" i="4"/>
  <c r="BE9" i="4"/>
  <c r="BD9" i="4"/>
  <c r="BE8" i="4"/>
  <c r="BD8" i="4"/>
  <c r="BE7" i="4"/>
  <c r="BD7" i="4"/>
  <c r="BE6" i="4"/>
  <c r="BD6" i="4"/>
  <c r="BE5" i="4"/>
  <c r="BD5" i="4"/>
  <c r="BD3" i="4"/>
  <c r="BE195" i="3"/>
  <c r="BD195" i="3"/>
  <c r="BE194" i="3"/>
  <c r="BE193" i="3"/>
  <c r="BD193" i="3"/>
  <c r="BE192" i="3"/>
  <c r="BD192" i="3"/>
  <c r="BE191" i="3"/>
  <c r="BD191" i="3"/>
  <c r="BE190" i="3"/>
  <c r="BD190" i="3"/>
  <c r="BE188" i="3"/>
  <c r="BD188" i="3"/>
  <c r="BE187" i="3"/>
  <c r="BD187" i="3"/>
  <c r="BE186" i="3"/>
  <c r="BD186" i="3"/>
  <c r="BE185" i="3"/>
  <c r="BD185" i="3"/>
  <c r="BE184" i="3"/>
  <c r="BD184" i="3"/>
  <c r="BE183" i="3"/>
  <c r="BD183" i="3"/>
  <c r="BE182" i="3"/>
  <c r="BD182" i="3"/>
  <c r="BE181" i="3"/>
  <c r="BD181" i="3"/>
  <c r="BE180" i="3"/>
  <c r="BD180" i="3"/>
  <c r="BE179" i="3"/>
  <c r="BD179" i="3"/>
  <c r="BE178" i="3"/>
  <c r="BD178" i="3"/>
  <c r="BE173" i="3"/>
  <c r="BE171" i="3"/>
  <c r="BD171" i="3"/>
  <c r="BE170" i="3"/>
  <c r="BD170" i="3"/>
  <c r="BE169" i="3"/>
  <c r="BD169" i="3"/>
  <c r="BE168" i="3"/>
  <c r="BD168" i="3"/>
  <c r="BE167" i="3"/>
  <c r="BD167" i="3"/>
  <c r="BE166" i="3"/>
  <c r="BD166" i="3"/>
  <c r="BE165" i="3"/>
  <c r="BD165" i="3"/>
  <c r="BE164" i="3"/>
  <c r="BD164" i="3"/>
  <c r="BE163" i="3"/>
  <c r="BD163" i="3"/>
  <c r="BE162" i="3"/>
  <c r="BE160" i="3"/>
  <c r="BD160" i="3"/>
  <c r="BE159" i="3"/>
  <c r="BD159" i="3"/>
  <c r="BE158" i="3"/>
  <c r="BD158" i="3"/>
  <c r="BE156" i="3"/>
  <c r="BD156" i="3"/>
  <c r="BE152" i="3"/>
  <c r="BD152" i="3"/>
  <c r="BE151" i="3"/>
  <c r="BD151" i="3"/>
  <c r="BE150" i="3"/>
  <c r="BD150" i="3"/>
  <c r="BE148" i="3"/>
  <c r="BD148" i="3"/>
  <c r="BE147" i="3"/>
  <c r="BD147" i="3"/>
  <c r="BE145" i="3"/>
  <c r="BD145" i="3"/>
  <c r="BE144" i="3"/>
  <c r="BD144" i="3"/>
  <c r="BE143" i="3"/>
  <c r="BD143" i="3"/>
  <c r="BE141" i="3"/>
  <c r="BD141" i="3"/>
  <c r="BD142" i="3" s="1"/>
  <c r="BE139" i="3"/>
  <c r="BD139" i="3"/>
  <c r="BE138" i="3"/>
  <c r="BD138" i="3"/>
  <c r="BE137" i="3"/>
  <c r="BD137" i="3"/>
  <c r="BE136" i="3"/>
  <c r="BD136" i="3"/>
  <c r="BE135" i="3"/>
  <c r="BD135" i="3"/>
  <c r="BE134" i="3"/>
  <c r="BD134" i="3"/>
  <c r="BE133" i="3"/>
  <c r="BD133" i="3"/>
  <c r="BE132" i="3"/>
  <c r="BD132" i="3"/>
  <c r="BE127" i="3"/>
  <c r="BD127" i="3"/>
  <c r="BE126" i="3"/>
  <c r="BD126" i="3"/>
  <c r="BE125" i="3"/>
  <c r="BD125" i="3"/>
  <c r="BE124" i="3"/>
  <c r="BD124" i="3"/>
  <c r="BE123" i="3"/>
  <c r="BD123" i="3"/>
  <c r="BE122" i="3"/>
  <c r="BD122" i="3"/>
  <c r="BE121" i="3"/>
  <c r="BD121" i="3"/>
  <c r="BE120" i="3"/>
  <c r="BD120" i="3"/>
  <c r="BE119" i="3"/>
  <c r="BD119" i="3"/>
  <c r="BE118" i="3"/>
  <c r="BD118" i="3"/>
  <c r="BE117" i="3"/>
  <c r="BD117" i="3"/>
  <c r="BE116" i="3"/>
  <c r="BD116" i="3"/>
  <c r="BE114" i="3"/>
  <c r="BD114" i="3"/>
  <c r="BE113" i="3"/>
  <c r="BD113" i="3"/>
  <c r="BE112" i="3"/>
  <c r="BD112" i="3"/>
  <c r="BE111" i="3"/>
  <c r="BD111" i="3"/>
  <c r="BE110" i="3"/>
  <c r="BD110" i="3"/>
  <c r="BE109" i="3"/>
  <c r="BD109" i="3"/>
  <c r="BE108" i="3"/>
  <c r="BD108" i="3"/>
  <c r="BE106" i="3"/>
  <c r="BD106" i="3"/>
  <c r="BE105" i="3"/>
  <c r="BD105" i="3"/>
  <c r="BE104" i="3"/>
  <c r="BD104" i="3"/>
  <c r="BE102" i="3"/>
  <c r="BD102" i="3"/>
  <c r="BE101" i="3"/>
  <c r="BD101" i="3"/>
  <c r="BE100" i="3"/>
  <c r="BD100" i="3"/>
  <c r="BE99" i="3"/>
  <c r="BD99" i="3"/>
  <c r="BE98" i="3"/>
  <c r="BD98" i="3"/>
  <c r="BE91" i="3"/>
  <c r="BD91" i="3"/>
  <c r="BE90" i="3"/>
  <c r="BD90" i="3"/>
  <c r="BE89" i="3"/>
  <c r="BD89" i="3"/>
  <c r="BE88" i="3"/>
  <c r="BD88" i="3"/>
  <c r="BE87" i="3"/>
  <c r="BD87" i="3"/>
  <c r="BE86" i="3"/>
  <c r="BD86" i="3"/>
  <c r="BE84" i="3"/>
  <c r="BD84" i="3"/>
  <c r="BE83" i="3"/>
  <c r="BD83" i="3"/>
  <c r="BE82" i="3"/>
  <c r="BD82" i="3"/>
  <c r="BE81" i="3"/>
  <c r="BD81" i="3"/>
  <c r="BE80" i="3"/>
  <c r="BD80" i="3"/>
  <c r="BE79" i="3"/>
  <c r="BD79" i="3"/>
  <c r="BE77" i="3"/>
  <c r="BD77" i="3"/>
  <c r="BE75" i="3"/>
  <c r="BD75" i="3"/>
  <c r="BE74" i="3"/>
  <c r="BD74" i="3"/>
  <c r="BE73" i="3"/>
  <c r="BD73" i="3"/>
  <c r="BE72" i="3"/>
  <c r="BD72" i="3"/>
  <c r="BE71" i="3"/>
  <c r="BD71" i="3"/>
  <c r="BE70" i="3"/>
  <c r="BD70" i="3"/>
  <c r="BE64" i="3"/>
  <c r="BD64" i="3"/>
  <c r="BE62" i="3"/>
  <c r="BD62" i="3"/>
  <c r="BE61" i="3"/>
  <c r="BD61" i="3"/>
  <c r="BE60" i="3"/>
  <c r="BD60" i="3"/>
  <c r="BE59" i="3"/>
  <c r="BD59" i="3"/>
  <c r="BE57" i="3"/>
  <c r="BD57" i="3"/>
  <c r="BE55" i="3"/>
  <c r="BD55" i="3"/>
  <c r="BE54" i="3"/>
  <c r="BD54" i="3"/>
  <c r="BE53" i="3"/>
  <c r="BD53" i="3"/>
  <c r="BE52" i="3"/>
  <c r="BD52" i="3"/>
  <c r="BE51" i="3"/>
  <c r="BD51" i="3"/>
  <c r="BE50" i="3"/>
  <c r="BD50" i="3"/>
  <c r="BE49" i="3"/>
  <c r="BD49" i="3"/>
  <c r="BE48" i="3"/>
  <c r="BD48" i="3"/>
  <c r="BE47" i="3"/>
  <c r="BD47" i="3"/>
  <c r="BE45" i="3"/>
  <c r="BD45" i="3"/>
  <c r="BE44" i="3"/>
  <c r="BD44" i="3"/>
  <c r="BE43" i="3"/>
  <c r="BD43" i="3"/>
  <c r="BE42" i="3"/>
  <c r="BD42" i="3"/>
  <c r="BE41" i="3"/>
  <c r="BD41" i="3"/>
  <c r="BE40" i="3"/>
  <c r="BD40" i="3"/>
  <c r="BE39" i="3"/>
  <c r="BD39" i="3"/>
  <c r="BE38" i="3"/>
  <c r="BD38" i="3"/>
  <c r="BE37" i="3"/>
  <c r="BD37" i="3"/>
  <c r="BE35" i="3"/>
  <c r="BD35" i="3"/>
  <c r="BE34" i="3"/>
  <c r="BD34" i="3"/>
  <c r="BE33" i="3"/>
  <c r="BD33" i="3"/>
  <c r="BE32" i="3"/>
  <c r="BD32" i="3"/>
  <c r="BE31" i="3"/>
  <c r="BD31" i="3"/>
  <c r="BE30" i="3"/>
  <c r="BD30" i="3"/>
  <c r="BE29" i="3"/>
  <c r="BD29" i="3"/>
  <c r="BE28" i="3"/>
  <c r="BD28" i="3"/>
  <c r="BE27" i="3"/>
  <c r="BD27" i="3"/>
  <c r="BE26" i="3"/>
  <c r="BD26" i="3"/>
  <c r="BE21" i="3"/>
  <c r="BD21" i="3"/>
  <c r="BE20" i="3"/>
  <c r="BD20" i="3"/>
  <c r="BE19" i="3"/>
  <c r="BD19" i="3"/>
  <c r="BE18" i="3"/>
  <c r="BD18" i="3"/>
  <c r="BE17" i="3"/>
  <c r="BD17" i="3"/>
  <c r="BE16" i="3"/>
  <c r="BD16" i="3"/>
  <c r="BE15" i="3"/>
  <c r="BD15" i="3"/>
  <c r="BE14" i="3"/>
  <c r="BD14" i="3"/>
  <c r="BE13" i="3"/>
  <c r="BD13" i="3"/>
  <c r="BE12" i="3"/>
  <c r="BD12" i="3"/>
  <c r="BE11" i="3"/>
  <c r="BD11" i="3"/>
  <c r="BE9" i="3"/>
  <c r="BD9" i="3"/>
  <c r="BE8" i="3"/>
  <c r="BD8" i="3"/>
  <c r="BE7" i="3"/>
  <c r="BD7" i="3"/>
  <c r="BE6" i="3"/>
  <c r="BD6" i="3"/>
  <c r="BE5" i="3"/>
  <c r="BD5" i="3"/>
  <c r="BD3" i="3"/>
  <c r="BE25" i="2"/>
  <c r="BD25" i="2"/>
  <c r="BE24" i="2"/>
  <c r="BD24" i="2"/>
  <c r="BE23" i="2"/>
  <c r="BD23" i="2"/>
  <c r="BE22" i="2"/>
  <c r="BD22" i="2"/>
  <c r="BE21" i="2"/>
  <c r="BD21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E5" i="2"/>
  <c r="BD5" i="2"/>
  <c r="AP121" i="3"/>
  <c r="AR121" i="3" s="1"/>
  <c r="AP21" i="5"/>
  <c r="AJ129" i="3"/>
  <c r="AK149" i="3"/>
  <c r="AK189" i="3"/>
  <c r="AK10" i="3"/>
  <c r="AK20" i="2"/>
  <c r="AT172" i="3"/>
  <c r="AT22" i="3"/>
  <c r="AT66" i="3"/>
  <c r="AT46" i="3"/>
  <c r="AT36" i="3"/>
  <c r="AR5" i="3"/>
  <c r="AR8" i="2"/>
  <c r="AR25" i="2"/>
  <c r="AR24" i="2"/>
  <c r="AR23" i="2"/>
  <c r="AR22" i="2"/>
  <c r="AR21" i="2"/>
  <c r="AR19" i="2"/>
  <c r="AR18" i="2"/>
  <c r="AR15" i="2"/>
  <c r="AR14" i="2"/>
  <c r="AR12" i="2"/>
  <c r="AR10" i="2"/>
  <c r="AR6" i="2"/>
  <c r="AR7" i="2"/>
  <c r="AR9" i="2"/>
  <c r="AR5" i="2"/>
  <c r="AB66" i="3"/>
  <c r="BE205" i="3"/>
  <c r="BD205" i="3"/>
  <c r="AQ39" i="5"/>
  <c r="AP39" i="5"/>
  <c r="AR33" i="5"/>
  <c r="AR48" i="5" s="1"/>
  <c r="AQ27" i="5"/>
  <c r="AQ20" i="5"/>
  <c r="AP2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2" i="5"/>
  <c r="AR23" i="5"/>
  <c r="AR24" i="5"/>
  <c r="AR25" i="5"/>
  <c r="AR26" i="5"/>
  <c r="AR29" i="5"/>
  <c r="AR30" i="5"/>
  <c r="AR31" i="5"/>
  <c r="AR32" i="5"/>
  <c r="AR34" i="5"/>
  <c r="AR35" i="5"/>
  <c r="AR36" i="5"/>
  <c r="AR37" i="5"/>
  <c r="AR38" i="5"/>
  <c r="AR7" i="5"/>
  <c r="AR5" i="5"/>
  <c r="AQ34" i="4"/>
  <c r="AP34" i="4"/>
  <c r="AR34" i="4" s="1"/>
  <c r="AQ23" i="4"/>
  <c r="AP23" i="4"/>
  <c r="AQ16" i="4"/>
  <c r="AP16" i="4"/>
  <c r="AQ10" i="4"/>
  <c r="AP10" i="4"/>
  <c r="AR7" i="4"/>
  <c r="AR8" i="4"/>
  <c r="AR9" i="4"/>
  <c r="AR11" i="4"/>
  <c r="AR12" i="4"/>
  <c r="AR13" i="4"/>
  <c r="AR14" i="4"/>
  <c r="AR15" i="4"/>
  <c r="AR17" i="4"/>
  <c r="AR18" i="4"/>
  <c r="AR19" i="4"/>
  <c r="AR20" i="4"/>
  <c r="AR21" i="4"/>
  <c r="AR22" i="4"/>
  <c r="AR25" i="4"/>
  <c r="AR26" i="4"/>
  <c r="AR27" i="4"/>
  <c r="AR28" i="4"/>
  <c r="AR29" i="4"/>
  <c r="AR30" i="4"/>
  <c r="AR31" i="4"/>
  <c r="AR32" i="4"/>
  <c r="AR33" i="4"/>
  <c r="AR6" i="4"/>
  <c r="AR5" i="4"/>
  <c r="AQ189" i="3"/>
  <c r="AP189" i="3"/>
  <c r="AP196" i="3" s="1"/>
  <c r="AQ172" i="3"/>
  <c r="AP172" i="3"/>
  <c r="AR172" i="3" s="1"/>
  <c r="AQ161" i="3"/>
  <c r="AP161" i="3"/>
  <c r="AQ149" i="3"/>
  <c r="AR149" i="3" s="1"/>
  <c r="AQ146" i="3"/>
  <c r="AP146" i="3"/>
  <c r="AQ142" i="3"/>
  <c r="AP142" i="3"/>
  <c r="AQ140" i="3"/>
  <c r="AP140" i="3"/>
  <c r="AQ128" i="3"/>
  <c r="AQ115" i="3"/>
  <c r="AP115" i="3"/>
  <c r="AQ107" i="3"/>
  <c r="AP107" i="3"/>
  <c r="AQ103" i="3"/>
  <c r="AR103" i="3" s="1"/>
  <c r="AQ92" i="3"/>
  <c r="AP92" i="3"/>
  <c r="AQ85" i="3"/>
  <c r="AP85" i="3"/>
  <c r="AQ76" i="3"/>
  <c r="AP76" i="3"/>
  <c r="AR155" i="3"/>
  <c r="AQ66" i="3"/>
  <c r="AP66" i="3"/>
  <c r="AQ56" i="3"/>
  <c r="AP56" i="3"/>
  <c r="AQ46" i="3"/>
  <c r="AP46" i="3"/>
  <c r="BF177" i="3"/>
  <c r="BF155" i="3"/>
  <c r="BF131" i="3"/>
  <c r="BF97" i="3"/>
  <c r="BF69" i="3"/>
  <c r="AR177" i="3"/>
  <c r="AR131" i="3"/>
  <c r="AR97" i="3"/>
  <c r="AR69" i="3"/>
  <c r="BF25" i="3"/>
  <c r="AR25" i="3"/>
  <c r="AR7" i="3"/>
  <c r="AR8" i="3"/>
  <c r="AR9" i="3"/>
  <c r="AR11" i="3"/>
  <c r="AR12" i="3"/>
  <c r="AR13" i="3"/>
  <c r="AR14" i="3"/>
  <c r="AR15" i="3"/>
  <c r="AR16" i="3"/>
  <c r="AR17" i="3"/>
  <c r="AR18" i="3"/>
  <c r="AR19" i="3"/>
  <c r="AR20" i="3"/>
  <c r="AR21" i="3"/>
  <c r="AR26" i="3"/>
  <c r="AR27" i="3"/>
  <c r="AR28" i="3"/>
  <c r="AR29" i="3"/>
  <c r="AR30" i="3"/>
  <c r="AR31" i="3"/>
  <c r="AR32" i="3"/>
  <c r="AR33" i="3"/>
  <c r="AR34" i="3"/>
  <c r="AR35" i="3"/>
  <c r="AR37" i="3"/>
  <c r="AR38" i="3"/>
  <c r="AR39" i="3"/>
  <c r="AR40" i="3"/>
  <c r="AR41" i="3"/>
  <c r="AR42" i="3"/>
  <c r="AR43" i="3"/>
  <c r="AR44" i="3"/>
  <c r="AR45" i="3"/>
  <c r="AR47" i="3"/>
  <c r="AR48" i="3"/>
  <c r="AR49" i="3"/>
  <c r="AR50" i="3"/>
  <c r="AR51" i="3"/>
  <c r="AR52" i="3"/>
  <c r="AR53" i="3"/>
  <c r="AR54" i="3"/>
  <c r="AR55" i="3"/>
  <c r="AR57" i="3"/>
  <c r="AR59" i="3"/>
  <c r="AR60" i="3"/>
  <c r="AR61" i="3"/>
  <c r="AR62" i="3"/>
  <c r="AR64" i="3"/>
  <c r="AR70" i="3"/>
  <c r="AR71" i="3"/>
  <c r="AR72" i="3"/>
  <c r="AR73" i="3"/>
  <c r="AR74" i="3"/>
  <c r="AR75" i="3"/>
  <c r="AR77" i="3"/>
  <c r="AR79" i="3"/>
  <c r="AR80" i="3"/>
  <c r="AR81" i="3"/>
  <c r="AR82" i="3"/>
  <c r="AR83" i="3"/>
  <c r="AR84" i="3"/>
  <c r="AR86" i="3"/>
  <c r="AR87" i="3"/>
  <c r="AR88" i="3"/>
  <c r="AR89" i="3"/>
  <c r="AR90" i="3"/>
  <c r="AR91" i="3"/>
  <c r="AR98" i="3"/>
  <c r="AR99" i="3"/>
  <c r="AR100" i="3"/>
  <c r="AR101" i="3"/>
  <c r="AR102" i="3"/>
  <c r="AR104" i="3"/>
  <c r="AR105" i="3"/>
  <c r="AR106" i="3"/>
  <c r="AR108" i="3"/>
  <c r="AR109" i="3"/>
  <c r="AR110" i="3"/>
  <c r="AR111" i="3"/>
  <c r="AR112" i="3"/>
  <c r="AR113" i="3"/>
  <c r="AR114" i="3"/>
  <c r="AR116" i="3"/>
  <c r="AR117" i="3"/>
  <c r="AR118" i="3"/>
  <c r="AR119" i="3"/>
  <c r="AR120" i="3"/>
  <c r="AR122" i="3"/>
  <c r="AR123" i="3"/>
  <c r="AR124" i="3"/>
  <c r="AR125" i="3"/>
  <c r="AR126" i="3"/>
  <c r="AR127" i="3"/>
  <c r="AR132" i="3"/>
  <c r="AR133" i="3"/>
  <c r="AR134" i="3"/>
  <c r="AR135" i="3"/>
  <c r="AR136" i="3"/>
  <c r="AR137" i="3"/>
  <c r="AR138" i="3"/>
  <c r="AR139" i="3"/>
  <c r="AR141" i="3"/>
  <c r="AR143" i="3"/>
  <c r="AR144" i="3"/>
  <c r="AR145" i="3"/>
  <c r="AR147" i="3"/>
  <c r="AR148" i="3"/>
  <c r="AR150" i="3"/>
  <c r="AR151" i="3"/>
  <c r="AR152" i="3"/>
  <c r="AR156" i="3"/>
  <c r="AR158" i="3"/>
  <c r="AR159" i="3"/>
  <c r="AR160" i="3"/>
  <c r="AR162" i="3"/>
  <c r="AR163" i="3"/>
  <c r="AR164" i="3"/>
  <c r="AR165" i="3"/>
  <c r="AR166" i="3"/>
  <c r="AR167" i="3"/>
  <c r="AR168" i="3"/>
  <c r="AR169" i="3"/>
  <c r="AR170" i="3"/>
  <c r="AR171" i="3"/>
  <c r="AR173" i="3"/>
  <c r="AR179" i="3"/>
  <c r="AR180" i="3"/>
  <c r="AR181" i="3"/>
  <c r="AR182" i="3"/>
  <c r="AR183" i="3"/>
  <c r="AR184" i="3"/>
  <c r="AR185" i="3"/>
  <c r="AR186" i="3"/>
  <c r="AR187" i="3"/>
  <c r="AR188" i="3"/>
  <c r="AR190" i="3"/>
  <c r="AR191" i="3"/>
  <c r="AR192" i="3"/>
  <c r="AR193" i="3"/>
  <c r="AR194" i="3"/>
  <c r="AR195" i="3"/>
  <c r="AR6" i="3"/>
  <c r="AK98" i="3"/>
  <c r="AK99" i="3"/>
  <c r="AK178" i="3"/>
  <c r="AK179" i="3"/>
  <c r="AQ36" i="3"/>
  <c r="AP36" i="3"/>
  <c r="AP10" i="3"/>
  <c r="AQ22" i="3"/>
  <c r="AP22" i="3"/>
  <c r="AQ10" i="3"/>
  <c r="AQ26" i="2"/>
  <c r="AP26" i="2"/>
  <c r="AB26" i="2"/>
  <c r="AQ20" i="2"/>
  <c r="AP20" i="2"/>
  <c r="AQ13" i="2"/>
  <c r="AP13" i="2"/>
  <c r="BF159" i="3"/>
  <c r="S20" i="2"/>
  <c r="F5" i="5"/>
  <c r="K5" i="5"/>
  <c r="N5" i="5"/>
  <c r="O5" i="5"/>
  <c r="F7" i="5"/>
  <c r="K7" i="5"/>
  <c r="N7" i="5"/>
  <c r="O7" i="5"/>
  <c r="F8" i="5"/>
  <c r="K8" i="5"/>
  <c r="N8" i="5"/>
  <c r="O8" i="5"/>
  <c r="F9" i="5"/>
  <c r="K9" i="5"/>
  <c r="N9" i="5"/>
  <c r="O9" i="5"/>
  <c r="F11" i="5"/>
  <c r="K11" i="5"/>
  <c r="N11" i="5"/>
  <c r="O11" i="5"/>
  <c r="F12" i="5"/>
  <c r="K12" i="5"/>
  <c r="N12" i="5"/>
  <c r="O12" i="5"/>
  <c r="F13" i="5"/>
  <c r="K13" i="5"/>
  <c r="N13" i="5"/>
  <c r="O13" i="5"/>
  <c r="F14" i="5"/>
  <c r="K14" i="5"/>
  <c r="N14" i="5"/>
  <c r="O14" i="5"/>
  <c r="F16" i="5"/>
  <c r="K16" i="5"/>
  <c r="N16" i="5"/>
  <c r="O16" i="5"/>
  <c r="F17" i="5"/>
  <c r="F18" i="5"/>
  <c r="K18" i="5"/>
  <c r="N18" i="5"/>
  <c r="O18" i="5"/>
  <c r="F19" i="5"/>
  <c r="K19" i="5"/>
  <c r="N19" i="5"/>
  <c r="P19" i="5" s="1"/>
  <c r="O19" i="5"/>
  <c r="D20" i="5"/>
  <c r="E20" i="5"/>
  <c r="G20" i="5"/>
  <c r="H20" i="5"/>
  <c r="I20" i="5"/>
  <c r="J20" i="5"/>
  <c r="L20" i="5"/>
  <c r="M20" i="5"/>
  <c r="F21" i="5"/>
  <c r="K21" i="5"/>
  <c r="N21" i="5"/>
  <c r="O21" i="5"/>
  <c r="F22" i="5"/>
  <c r="K22" i="5"/>
  <c r="N22" i="5"/>
  <c r="O22" i="5"/>
  <c r="F23" i="5"/>
  <c r="K23" i="5"/>
  <c r="N23" i="5"/>
  <c r="O23" i="5"/>
  <c r="F24" i="5"/>
  <c r="K24" i="5"/>
  <c r="N24" i="5"/>
  <c r="O24" i="5"/>
  <c r="F25" i="5"/>
  <c r="K25" i="5"/>
  <c r="N25" i="5"/>
  <c r="O25" i="5"/>
  <c r="F26" i="5"/>
  <c r="N26" i="5"/>
  <c r="O26" i="5"/>
  <c r="D27" i="5"/>
  <c r="E27" i="5"/>
  <c r="I27" i="5"/>
  <c r="J27" i="5"/>
  <c r="F29" i="5"/>
  <c r="K29" i="5"/>
  <c r="N29" i="5"/>
  <c r="O29" i="5"/>
  <c r="F30" i="5"/>
  <c r="K30" i="5"/>
  <c r="N30" i="5"/>
  <c r="O30" i="5"/>
  <c r="F31" i="5"/>
  <c r="K31" i="5"/>
  <c r="N31" i="5"/>
  <c r="O31" i="5"/>
  <c r="F32" i="5"/>
  <c r="K32" i="5"/>
  <c r="N32" i="5"/>
  <c r="O32" i="5"/>
  <c r="D33" i="5"/>
  <c r="E33" i="5"/>
  <c r="I33" i="5"/>
  <c r="J33" i="5"/>
  <c r="F34" i="5"/>
  <c r="K34" i="5"/>
  <c r="N34" i="5"/>
  <c r="O34" i="5"/>
  <c r="F35" i="5"/>
  <c r="K35" i="5"/>
  <c r="N35" i="5"/>
  <c r="O35" i="5"/>
  <c r="F36" i="5"/>
  <c r="K36" i="5"/>
  <c r="N36" i="5"/>
  <c r="O36" i="5"/>
  <c r="F37" i="5"/>
  <c r="K37" i="5"/>
  <c r="N37" i="5"/>
  <c r="O37" i="5"/>
  <c r="F38" i="5"/>
  <c r="K38" i="5"/>
  <c r="N38" i="5"/>
  <c r="O38" i="5"/>
  <c r="D39" i="5"/>
  <c r="E39" i="5"/>
  <c r="I39" i="5"/>
  <c r="J39" i="5"/>
  <c r="K45" i="5"/>
  <c r="P45" i="5"/>
  <c r="AC20" i="5"/>
  <c r="AB20" i="5"/>
  <c r="S20" i="5"/>
  <c r="R20" i="5"/>
  <c r="Z20" i="5"/>
  <c r="Z46" i="5" s="1"/>
  <c r="AB37" i="5"/>
  <c r="O18" i="2"/>
  <c r="Z10" i="3"/>
  <c r="Z161" i="3"/>
  <c r="AD31" i="5"/>
  <c r="AB33" i="5"/>
  <c r="AB21" i="5"/>
  <c r="AB27" i="5" s="1"/>
  <c r="AC18" i="2"/>
  <c r="AB10" i="4"/>
  <c r="AB47" i="3"/>
  <c r="AB14" i="3"/>
  <c r="AC12" i="3"/>
  <c r="AB12" i="3"/>
  <c r="AD12" i="3" s="1"/>
  <c r="K12" i="2"/>
  <c r="T12" i="2"/>
  <c r="Z34" i="4"/>
  <c r="Z23" i="4"/>
  <c r="Z16" i="4"/>
  <c r="Z10" i="4"/>
  <c r="Z128" i="3"/>
  <c r="Z115" i="3"/>
  <c r="Z103" i="3"/>
  <c r="Z92" i="3"/>
  <c r="Z85" i="3"/>
  <c r="Z76" i="3"/>
  <c r="Z56" i="3"/>
  <c r="Z46" i="3"/>
  <c r="Z22" i="3"/>
  <c r="Z23" i="3" s="1"/>
  <c r="Z36" i="3"/>
  <c r="Z149" i="3"/>
  <c r="Z172" i="3"/>
  <c r="Z189" i="3"/>
  <c r="Z196" i="3" s="1"/>
  <c r="Z146" i="3"/>
  <c r="Z140" i="3"/>
  <c r="AF26" i="2"/>
  <c r="AF20" i="2"/>
  <c r="AF13" i="2"/>
  <c r="Z26" i="2"/>
  <c r="Z20" i="2"/>
  <c r="Z13" i="2"/>
  <c r="AE49" i="5"/>
  <c r="AE48" i="5"/>
  <c r="AE47" i="5"/>
  <c r="AE46" i="5"/>
  <c r="AE45" i="5"/>
  <c r="Z39" i="5"/>
  <c r="Z49" i="5" s="1"/>
  <c r="AF49" i="5"/>
  <c r="AF48" i="5"/>
  <c r="Z33" i="5"/>
  <c r="Z48" i="5" s="1"/>
  <c r="AF47" i="5"/>
  <c r="Z27" i="5"/>
  <c r="Z47" i="5" s="1"/>
  <c r="AF46" i="5"/>
  <c r="D34" i="4"/>
  <c r="F34" i="4" s="1"/>
  <c r="E23" i="4"/>
  <c r="D23" i="4"/>
  <c r="D24" i="4" s="1"/>
  <c r="D35" i="4" s="1"/>
  <c r="E16" i="4"/>
  <c r="D16" i="4"/>
  <c r="E10" i="4"/>
  <c r="D10" i="4"/>
  <c r="X16" i="3"/>
  <c r="X17" i="3"/>
  <c r="T5" i="3"/>
  <c r="T6" i="3"/>
  <c r="T7" i="3"/>
  <c r="T8" i="3"/>
  <c r="T9" i="3"/>
  <c r="R10" i="3"/>
  <c r="S10" i="3"/>
  <c r="T11" i="3"/>
  <c r="T12" i="3"/>
  <c r="T13" i="3"/>
  <c r="T14" i="3"/>
  <c r="T15" i="3"/>
  <c r="T16" i="3"/>
  <c r="T18" i="3" s="1"/>
  <c r="R18" i="3"/>
  <c r="R22" i="3" s="1"/>
  <c r="R23" i="3" s="1"/>
  <c r="S18" i="3"/>
  <c r="S22" i="3" s="1"/>
  <c r="S23" i="3" s="1"/>
  <c r="T19" i="3"/>
  <c r="T20" i="3"/>
  <c r="T21" i="3"/>
  <c r="T26" i="3"/>
  <c r="T27" i="3"/>
  <c r="T28" i="3"/>
  <c r="T29" i="3"/>
  <c r="T30" i="3"/>
  <c r="T31" i="3"/>
  <c r="T32" i="3"/>
  <c r="T33" i="3"/>
  <c r="T34" i="3"/>
  <c r="T35" i="3"/>
  <c r="R36" i="3"/>
  <c r="S36" i="3"/>
  <c r="T37" i="3"/>
  <c r="T38" i="3"/>
  <c r="T39" i="3"/>
  <c r="T40" i="3"/>
  <c r="T41" i="3"/>
  <c r="T42" i="3"/>
  <c r="T43" i="3"/>
  <c r="T44" i="3"/>
  <c r="T45" i="3"/>
  <c r="R46" i="3"/>
  <c r="S46" i="3"/>
  <c r="T47" i="3"/>
  <c r="T48" i="3"/>
  <c r="T49" i="3"/>
  <c r="T50" i="3"/>
  <c r="T51" i="3"/>
  <c r="T52" i="3"/>
  <c r="T53" i="3"/>
  <c r="T54" i="3"/>
  <c r="T55" i="3"/>
  <c r="R56" i="3"/>
  <c r="S56" i="3"/>
  <c r="T57" i="3"/>
  <c r="T59" i="3"/>
  <c r="T61" i="3"/>
  <c r="T64" i="3"/>
  <c r="T70" i="3"/>
  <c r="T71" i="3"/>
  <c r="T72" i="3"/>
  <c r="T73" i="3"/>
  <c r="T74" i="3"/>
  <c r="T75" i="3"/>
  <c r="R76" i="3"/>
  <c r="S76" i="3"/>
  <c r="T77" i="3"/>
  <c r="T79" i="3"/>
  <c r="T80" i="3"/>
  <c r="T81" i="3"/>
  <c r="T82" i="3"/>
  <c r="T83" i="3"/>
  <c r="T84" i="3"/>
  <c r="R85" i="3"/>
  <c r="S85" i="3"/>
  <c r="T86" i="3"/>
  <c r="T87" i="3"/>
  <c r="T88" i="3"/>
  <c r="T89" i="3"/>
  <c r="T90" i="3"/>
  <c r="T91" i="3"/>
  <c r="R92" i="3"/>
  <c r="S92" i="3"/>
  <c r="T98" i="3"/>
  <c r="T99" i="3"/>
  <c r="T100" i="3"/>
  <c r="T101" i="3"/>
  <c r="R103" i="3"/>
  <c r="S103" i="3"/>
  <c r="T104" i="3"/>
  <c r="T105" i="3"/>
  <c r="T106" i="3"/>
  <c r="R107" i="3"/>
  <c r="S107" i="3"/>
  <c r="T108" i="3"/>
  <c r="T109" i="3"/>
  <c r="T110" i="3"/>
  <c r="T111" i="3"/>
  <c r="T112" i="3"/>
  <c r="T113" i="3"/>
  <c r="T114" i="3"/>
  <c r="R115" i="3"/>
  <c r="S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R128" i="3"/>
  <c r="S128" i="3"/>
  <c r="T132" i="3"/>
  <c r="T133" i="3"/>
  <c r="T134" i="3"/>
  <c r="T135" i="3"/>
  <c r="T136" i="3"/>
  <c r="T137" i="3"/>
  <c r="T138" i="3"/>
  <c r="T139" i="3"/>
  <c r="R140" i="3"/>
  <c r="S140" i="3"/>
  <c r="T141" i="3"/>
  <c r="T142" i="3" s="1"/>
  <c r="R142" i="3"/>
  <c r="S142" i="3"/>
  <c r="T143" i="3"/>
  <c r="T144" i="3"/>
  <c r="T145" i="3"/>
  <c r="R146" i="3"/>
  <c r="S146" i="3"/>
  <c r="T147" i="3"/>
  <c r="T148" i="3"/>
  <c r="R149" i="3"/>
  <c r="S149" i="3"/>
  <c r="T150" i="3"/>
  <c r="T151" i="3"/>
  <c r="T152" i="3"/>
  <c r="T156" i="3"/>
  <c r="T158" i="3"/>
  <c r="T159" i="3"/>
  <c r="T160" i="3"/>
  <c r="R161" i="3"/>
  <c r="S161" i="3"/>
  <c r="T162" i="3"/>
  <c r="T163" i="3"/>
  <c r="T164" i="3"/>
  <c r="T165" i="3"/>
  <c r="T166" i="3"/>
  <c r="T167" i="3"/>
  <c r="T170" i="3"/>
  <c r="T171" i="3"/>
  <c r="R172" i="3"/>
  <c r="S172" i="3"/>
  <c r="T173" i="3"/>
  <c r="T178" i="3"/>
  <c r="T179" i="3"/>
  <c r="T180" i="3"/>
  <c r="T185" i="3"/>
  <c r="T186" i="3"/>
  <c r="T187" i="3"/>
  <c r="T188" i="3"/>
  <c r="R189" i="3"/>
  <c r="R196" i="3" s="1"/>
  <c r="S189" i="3"/>
  <c r="S196" i="3" s="1"/>
  <c r="T191" i="3"/>
  <c r="T192" i="3"/>
  <c r="T193" i="3"/>
  <c r="T194" i="3"/>
  <c r="T195" i="3"/>
  <c r="T5" i="4"/>
  <c r="T6" i="4"/>
  <c r="T7" i="4"/>
  <c r="T8" i="4"/>
  <c r="T9" i="4"/>
  <c r="R10" i="4"/>
  <c r="S10" i="4"/>
  <c r="T11" i="4"/>
  <c r="T12" i="4"/>
  <c r="T13" i="4"/>
  <c r="T14" i="4"/>
  <c r="T15" i="4"/>
  <c r="R16" i="4"/>
  <c r="S16" i="4"/>
  <c r="T17" i="4"/>
  <c r="T18" i="4"/>
  <c r="T19" i="4"/>
  <c r="T20" i="4"/>
  <c r="T21" i="4"/>
  <c r="T22" i="4"/>
  <c r="R23" i="4"/>
  <c r="S23" i="4"/>
  <c r="T25" i="4"/>
  <c r="T26" i="4"/>
  <c r="T27" i="4"/>
  <c r="T28" i="4"/>
  <c r="T29" i="4"/>
  <c r="T32" i="4"/>
  <c r="T33" i="4"/>
  <c r="R34" i="4"/>
  <c r="S34" i="4"/>
  <c r="T5" i="5"/>
  <c r="T7" i="5"/>
  <c r="T8" i="5"/>
  <c r="T9" i="5"/>
  <c r="T11" i="5"/>
  <c r="T12" i="5"/>
  <c r="T13" i="5"/>
  <c r="T14" i="5"/>
  <c r="T16" i="5"/>
  <c r="T17" i="5"/>
  <c r="T18" i="5"/>
  <c r="T19" i="5"/>
  <c r="T21" i="5"/>
  <c r="T22" i="5"/>
  <c r="T23" i="5"/>
  <c r="T24" i="5"/>
  <c r="T25" i="5"/>
  <c r="T26" i="5"/>
  <c r="R27" i="5"/>
  <c r="S27" i="5"/>
  <c r="T29" i="5"/>
  <c r="T30" i="5"/>
  <c r="T31" i="5"/>
  <c r="T32" i="5"/>
  <c r="R33" i="5"/>
  <c r="S33" i="5"/>
  <c r="T34" i="5"/>
  <c r="T35" i="5"/>
  <c r="T36" i="5"/>
  <c r="T37" i="5"/>
  <c r="R39" i="5"/>
  <c r="S39" i="5"/>
  <c r="T5" i="2"/>
  <c r="T6" i="2"/>
  <c r="T9" i="2"/>
  <c r="T10" i="2"/>
  <c r="T11" i="2"/>
  <c r="R13" i="2"/>
  <c r="S13" i="2"/>
  <c r="T14" i="2"/>
  <c r="T15" i="2"/>
  <c r="T16" i="2"/>
  <c r="T17" i="2"/>
  <c r="T18" i="2"/>
  <c r="T19" i="2"/>
  <c r="R20" i="2"/>
  <c r="T21" i="2"/>
  <c r="T22" i="2"/>
  <c r="T23" i="2"/>
  <c r="T24" i="2"/>
  <c r="T25" i="2"/>
  <c r="R26" i="2"/>
  <c r="S26" i="2"/>
  <c r="B49" i="5"/>
  <c r="B48" i="5"/>
  <c r="B47" i="5"/>
  <c r="B46" i="5"/>
  <c r="AD45" i="5"/>
  <c r="B45" i="5"/>
  <c r="AC39" i="5"/>
  <c r="AD38" i="5"/>
  <c r="AD36" i="5"/>
  <c r="AD35" i="5"/>
  <c r="AC33" i="5"/>
  <c r="AD32" i="5"/>
  <c r="AD30" i="5"/>
  <c r="AD29" i="5"/>
  <c r="AC27" i="5"/>
  <c r="AD26" i="5"/>
  <c r="AD25" i="5"/>
  <c r="AD24" i="5"/>
  <c r="AD23" i="5"/>
  <c r="AD22" i="5"/>
  <c r="AD19" i="5"/>
  <c r="AD18" i="5"/>
  <c r="AD17" i="5"/>
  <c r="AD16" i="5"/>
  <c r="AD14" i="5"/>
  <c r="AD13" i="5"/>
  <c r="AD12" i="5"/>
  <c r="AD11" i="5"/>
  <c r="AD10" i="5"/>
  <c r="AD9" i="5"/>
  <c r="AD8" i="5"/>
  <c r="AD7" i="5"/>
  <c r="AD5" i="5"/>
  <c r="B42" i="4"/>
  <c r="B41" i="4"/>
  <c r="B40" i="4"/>
  <c r="B39" i="4"/>
  <c r="AD38" i="4"/>
  <c r="P38" i="4"/>
  <c r="K38" i="4"/>
  <c r="B38" i="4"/>
  <c r="AC34" i="4"/>
  <c r="AB34" i="4"/>
  <c r="J34" i="4"/>
  <c r="I34" i="4"/>
  <c r="AD33" i="4"/>
  <c r="O33" i="4"/>
  <c r="N33" i="4"/>
  <c r="K33" i="4"/>
  <c r="F33" i="4"/>
  <c r="AD32" i="4"/>
  <c r="O32" i="4"/>
  <c r="N32" i="4"/>
  <c r="P32" i="4" s="1"/>
  <c r="K32" i="4"/>
  <c r="F32" i="4"/>
  <c r="AD31" i="4"/>
  <c r="O31" i="4"/>
  <c r="N31" i="4"/>
  <c r="AD30" i="4"/>
  <c r="O30" i="4"/>
  <c r="N30" i="4"/>
  <c r="P30" i="4" s="1"/>
  <c r="AD29" i="4"/>
  <c r="O29" i="4"/>
  <c r="N29" i="4"/>
  <c r="K29" i="4"/>
  <c r="F29" i="4"/>
  <c r="X28" i="4"/>
  <c r="O28" i="4"/>
  <c r="N28" i="4"/>
  <c r="K28" i="4"/>
  <c r="F28" i="4"/>
  <c r="O27" i="4"/>
  <c r="N27" i="4"/>
  <c r="K27" i="4"/>
  <c r="F27" i="4"/>
  <c r="AD26" i="4"/>
  <c r="O26" i="4"/>
  <c r="N26" i="4"/>
  <c r="P26" i="4" s="1"/>
  <c r="K26" i="4"/>
  <c r="F26" i="4"/>
  <c r="AD25" i="4"/>
  <c r="O25" i="4"/>
  <c r="N25" i="4"/>
  <c r="K25" i="4"/>
  <c r="F25" i="4"/>
  <c r="AC23" i="4"/>
  <c r="AB23" i="4"/>
  <c r="J23" i="4"/>
  <c r="I23" i="4"/>
  <c r="AD22" i="4"/>
  <c r="O22" i="4"/>
  <c r="N22" i="4"/>
  <c r="K22" i="4"/>
  <c r="F22" i="4"/>
  <c r="AD21" i="4"/>
  <c r="O21" i="4"/>
  <c r="N21" i="4"/>
  <c r="K21" i="4"/>
  <c r="F21" i="4"/>
  <c r="AD20" i="4"/>
  <c r="O20" i="4"/>
  <c r="N20" i="4"/>
  <c r="K20" i="4"/>
  <c r="F20" i="4"/>
  <c r="AD19" i="4"/>
  <c r="O19" i="4"/>
  <c r="N19" i="4"/>
  <c r="K19" i="4"/>
  <c r="F19" i="4"/>
  <c r="AD18" i="4"/>
  <c r="AD23" i="4" s="1"/>
  <c r="O18" i="4"/>
  <c r="N18" i="4"/>
  <c r="K18" i="4"/>
  <c r="F18" i="4"/>
  <c r="AD17" i="4"/>
  <c r="O17" i="4"/>
  <c r="N17" i="4"/>
  <c r="K17" i="4"/>
  <c r="F17" i="4"/>
  <c r="AC16" i="4"/>
  <c r="AB16" i="4"/>
  <c r="J16" i="4"/>
  <c r="I16" i="4"/>
  <c r="F16" i="4"/>
  <c r="AD15" i="4"/>
  <c r="O15" i="4"/>
  <c r="N15" i="4"/>
  <c r="K15" i="4"/>
  <c r="F15" i="4"/>
  <c r="AD14" i="4"/>
  <c r="O14" i="4"/>
  <c r="N14" i="4"/>
  <c r="K14" i="4"/>
  <c r="F14" i="4"/>
  <c r="AD13" i="4"/>
  <c r="O13" i="4"/>
  <c r="N13" i="4"/>
  <c r="K13" i="4"/>
  <c r="F13" i="4"/>
  <c r="AD12" i="4"/>
  <c r="O12" i="4"/>
  <c r="N12" i="4"/>
  <c r="K12" i="4"/>
  <c r="F12" i="4"/>
  <c r="AD11" i="4"/>
  <c r="O11" i="4"/>
  <c r="N11" i="4"/>
  <c r="K11" i="4"/>
  <c r="F11" i="4"/>
  <c r="AC10" i="4"/>
  <c r="AC24" i="4" s="1"/>
  <c r="AC35" i="4" s="1"/>
  <c r="AC8" i="1" s="1"/>
  <c r="J10" i="4"/>
  <c r="I10" i="4"/>
  <c r="F10" i="4"/>
  <c r="AD9" i="4"/>
  <c r="O9" i="4"/>
  <c r="N9" i="4"/>
  <c r="K9" i="4"/>
  <c r="F9" i="4"/>
  <c r="AD8" i="4"/>
  <c r="O8" i="4"/>
  <c r="N8" i="4"/>
  <c r="K8" i="4"/>
  <c r="F8" i="4"/>
  <c r="AD7" i="4"/>
  <c r="O7" i="4"/>
  <c r="N7" i="4"/>
  <c r="K7" i="4"/>
  <c r="F7" i="4"/>
  <c r="AD6" i="4"/>
  <c r="O6" i="4"/>
  <c r="N6" i="4"/>
  <c r="K6" i="4"/>
  <c r="F6" i="4"/>
  <c r="AD5" i="4"/>
  <c r="O5" i="4"/>
  <c r="N5" i="4"/>
  <c r="K5" i="4"/>
  <c r="F5" i="4"/>
  <c r="AD200" i="3"/>
  <c r="AC200" i="3"/>
  <c r="AB200" i="3"/>
  <c r="P200" i="3"/>
  <c r="K200" i="3"/>
  <c r="B200" i="3"/>
  <c r="AD195" i="3"/>
  <c r="O195" i="3"/>
  <c r="N195" i="3"/>
  <c r="X194" i="3"/>
  <c r="O194" i="3"/>
  <c r="N194" i="3"/>
  <c r="K194" i="3"/>
  <c r="AD193" i="3"/>
  <c r="O193" i="3"/>
  <c r="N193" i="3"/>
  <c r="P193" i="3" s="1"/>
  <c r="K193" i="3"/>
  <c r="AD192" i="3"/>
  <c r="O192" i="3"/>
  <c r="N192" i="3"/>
  <c r="K192" i="3"/>
  <c r="AD191" i="3"/>
  <c r="O191" i="3"/>
  <c r="N191" i="3"/>
  <c r="K191" i="3"/>
  <c r="F191" i="3"/>
  <c r="AC189" i="3"/>
  <c r="AB189" i="3"/>
  <c r="AB196" i="3" s="1"/>
  <c r="J189" i="3"/>
  <c r="J196" i="3" s="1"/>
  <c r="I189" i="3"/>
  <c r="E189" i="3"/>
  <c r="E196" i="3" s="1"/>
  <c r="D189" i="3"/>
  <c r="AD188" i="3"/>
  <c r="O188" i="3"/>
  <c r="N188" i="3"/>
  <c r="K188" i="3"/>
  <c r="F188" i="3"/>
  <c r="AD187" i="3"/>
  <c r="O187" i="3"/>
  <c r="N187" i="3"/>
  <c r="K187" i="3"/>
  <c r="F187" i="3"/>
  <c r="AD186" i="3"/>
  <c r="O186" i="3"/>
  <c r="N186" i="3"/>
  <c r="K186" i="3"/>
  <c r="F186" i="3"/>
  <c r="AD185" i="3"/>
  <c r="O185" i="3"/>
  <c r="N185" i="3"/>
  <c r="K185" i="3"/>
  <c r="F185" i="3"/>
  <c r="AD184" i="3"/>
  <c r="AD183" i="3"/>
  <c r="AD182" i="3"/>
  <c r="AD181" i="3"/>
  <c r="AD180" i="3"/>
  <c r="O180" i="3"/>
  <c r="P180" i="3" s="1"/>
  <c r="N180" i="3"/>
  <c r="K180" i="3"/>
  <c r="F180" i="3"/>
  <c r="AD179" i="3"/>
  <c r="O179" i="3"/>
  <c r="N179" i="3"/>
  <c r="K179" i="3"/>
  <c r="F179" i="3"/>
  <c r="AD178" i="3"/>
  <c r="X178" i="3"/>
  <c r="O178" i="3"/>
  <c r="N178" i="3"/>
  <c r="K178" i="3"/>
  <c r="F178" i="3"/>
  <c r="AD177" i="3"/>
  <c r="X177" i="3"/>
  <c r="P177" i="3"/>
  <c r="K177" i="3"/>
  <c r="B177" i="3"/>
  <c r="AD173" i="3"/>
  <c r="O173" i="3"/>
  <c r="N173" i="3"/>
  <c r="K173" i="3"/>
  <c r="F173" i="3"/>
  <c r="AC172" i="3"/>
  <c r="AB172" i="3"/>
  <c r="K172" i="3"/>
  <c r="J172" i="3"/>
  <c r="I172" i="3"/>
  <c r="E172" i="3"/>
  <c r="D172" i="3"/>
  <c r="AD171" i="3"/>
  <c r="O171" i="3"/>
  <c r="N171" i="3"/>
  <c r="AD170" i="3"/>
  <c r="O170" i="3"/>
  <c r="N170" i="3"/>
  <c r="X169" i="3"/>
  <c r="O169" i="3"/>
  <c r="N169" i="3"/>
  <c r="O168" i="3"/>
  <c r="N168" i="3"/>
  <c r="AD167" i="3"/>
  <c r="O167" i="3"/>
  <c r="N167" i="3"/>
  <c r="AD166" i="3"/>
  <c r="O166" i="3"/>
  <c r="N166" i="3"/>
  <c r="AD165" i="3"/>
  <c r="O165" i="3"/>
  <c r="N165" i="3"/>
  <c r="AD164" i="3"/>
  <c r="O164" i="3"/>
  <c r="N164" i="3"/>
  <c r="AD163" i="3"/>
  <c r="O163" i="3"/>
  <c r="N163" i="3"/>
  <c r="AD162" i="3"/>
  <c r="O162" i="3"/>
  <c r="N162" i="3"/>
  <c r="AC161" i="3"/>
  <c r="AB161" i="3"/>
  <c r="J161" i="3"/>
  <c r="I161" i="3"/>
  <c r="E161" i="3"/>
  <c r="D161" i="3"/>
  <c r="AD160" i="3"/>
  <c r="O160" i="3"/>
  <c r="N160" i="3"/>
  <c r="K160" i="3"/>
  <c r="AD159" i="3"/>
  <c r="O159" i="3"/>
  <c r="N159" i="3"/>
  <c r="K159" i="3"/>
  <c r="AD158" i="3"/>
  <c r="X158" i="3"/>
  <c r="O158" i="3"/>
  <c r="N158" i="3"/>
  <c r="AD156" i="3"/>
  <c r="O156" i="3"/>
  <c r="N156" i="3"/>
  <c r="K156" i="3"/>
  <c r="F156" i="3"/>
  <c r="AD155" i="3"/>
  <c r="X155" i="3"/>
  <c r="P155" i="3"/>
  <c r="K155" i="3"/>
  <c r="B155" i="3"/>
  <c r="AD152" i="3"/>
  <c r="O152" i="3"/>
  <c r="N152" i="3"/>
  <c r="K152" i="3"/>
  <c r="F152" i="3"/>
  <c r="AD151" i="3"/>
  <c r="O151" i="3"/>
  <c r="N151" i="3"/>
  <c r="K151" i="3"/>
  <c r="F151" i="3"/>
  <c r="AD150" i="3"/>
  <c r="O150" i="3"/>
  <c r="N150" i="3"/>
  <c r="K150" i="3"/>
  <c r="F150" i="3"/>
  <c r="AC149" i="3"/>
  <c r="AB149" i="3"/>
  <c r="J149" i="3"/>
  <c r="I149" i="3"/>
  <c r="E149" i="3"/>
  <c r="D149" i="3"/>
  <c r="AD148" i="3"/>
  <c r="X148" i="3"/>
  <c r="O148" i="3"/>
  <c r="N148" i="3"/>
  <c r="K148" i="3"/>
  <c r="F148" i="3"/>
  <c r="AD147" i="3"/>
  <c r="O147" i="3"/>
  <c r="O149" i="3" s="1"/>
  <c r="N147" i="3"/>
  <c r="K147" i="3"/>
  <c r="F147" i="3"/>
  <c r="AC146" i="3"/>
  <c r="AB146" i="3"/>
  <c r="J146" i="3"/>
  <c r="I146" i="3"/>
  <c r="D146" i="3"/>
  <c r="F146" i="3" s="1"/>
  <c r="AD145" i="3"/>
  <c r="O145" i="3"/>
  <c r="N145" i="3"/>
  <c r="K145" i="3"/>
  <c r="F145" i="3"/>
  <c r="AD144" i="3"/>
  <c r="O144" i="3"/>
  <c r="N144" i="3"/>
  <c r="K144" i="3"/>
  <c r="F144" i="3"/>
  <c r="AD143" i="3"/>
  <c r="O143" i="3"/>
  <c r="N143" i="3"/>
  <c r="K143" i="3"/>
  <c r="F143" i="3"/>
  <c r="AC142" i="3"/>
  <c r="AB142" i="3"/>
  <c r="J142" i="3"/>
  <c r="I142" i="3"/>
  <c r="E142" i="3"/>
  <c r="D142" i="3"/>
  <c r="AD141" i="3"/>
  <c r="W142" i="3"/>
  <c r="V142" i="3"/>
  <c r="O141" i="3"/>
  <c r="O142" i="3" s="1"/>
  <c r="N141" i="3"/>
  <c r="N142" i="3" s="1"/>
  <c r="K141" i="3"/>
  <c r="K142" i="3" s="1"/>
  <c r="F141" i="3"/>
  <c r="AC140" i="3"/>
  <c r="AB140" i="3"/>
  <c r="J140" i="3"/>
  <c r="I140" i="3"/>
  <c r="E140" i="3"/>
  <c r="D140" i="3"/>
  <c r="AD139" i="3"/>
  <c r="O139" i="3"/>
  <c r="N139" i="3"/>
  <c r="K139" i="3"/>
  <c r="AD138" i="3"/>
  <c r="O138" i="3"/>
  <c r="N138" i="3"/>
  <c r="K138" i="3"/>
  <c r="F138" i="3"/>
  <c r="AD137" i="3"/>
  <c r="O137" i="3"/>
  <c r="N137" i="3"/>
  <c r="K137" i="3"/>
  <c r="F137" i="3"/>
  <c r="AD136" i="3"/>
  <c r="O136" i="3"/>
  <c r="N136" i="3"/>
  <c r="K136" i="3"/>
  <c r="F136" i="3"/>
  <c r="AD135" i="3"/>
  <c r="O135" i="3"/>
  <c r="N135" i="3"/>
  <c r="K135" i="3"/>
  <c r="F135" i="3"/>
  <c r="AD134" i="3"/>
  <c r="O134" i="3"/>
  <c r="N134" i="3"/>
  <c r="K134" i="3"/>
  <c r="F134" i="3"/>
  <c r="AD133" i="3"/>
  <c r="O133" i="3"/>
  <c r="N133" i="3"/>
  <c r="K133" i="3"/>
  <c r="F133" i="3"/>
  <c r="AD132" i="3"/>
  <c r="O132" i="3"/>
  <c r="N132" i="3"/>
  <c r="K132" i="3"/>
  <c r="F132" i="3"/>
  <c r="AD131" i="3"/>
  <c r="X131" i="3"/>
  <c r="P131" i="3"/>
  <c r="K131" i="3"/>
  <c r="B131" i="3"/>
  <c r="AC128" i="3"/>
  <c r="AB128" i="3"/>
  <c r="J128" i="3"/>
  <c r="I128" i="3"/>
  <c r="E128" i="3"/>
  <c r="D128" i="3"/>
  <c r="AD127" i="3"/>
  <c r="O127" i="3"/>
  <c r="N127" i="3"/>
  <c r="K127" i="3"/>
  <c r="F127" i="3"/>
  <c r="AD126" i="3"/>
  <c r="O126" i="3"/>
  <c r="N126" i="3"/>
  <c r="K126" i="3"/>
  <c r="AD125" i="3"/>
  <c r="O125" i="3"/>
  <c r="N125" i="3"/>
  <c r="K125" i="3"/>
  <c r="F125" i="3"/>
  <c r="AD124" i="3"/>
  <c r="O124" i="3"/>
  <c r="N124" i="3"/>
  <c r="AD123" i="3"/>
  <c r="O123" i="3"/>
  <c r="N123" i="3"/>
  <c r="P123" i="3" s="1"/>
  <c r="K123" i="3"/>
  <c r="F123" i="3"/>
  <c r="AD122" i="3"/>
  <c r="O122" i="3"/>
  <c r="N122" i="3"/>
  <c r="K122" i="3"/>
  <c r="F122" i="3"/>
  <c r="AD121" i="3"/>
  <c r="O121" i="3"/>
  <c r="N121" i="3"/>
  <c r="K121" i="3"/>
  <c r="F121" i="3"/>
  <c r="AD120" i="3"/>
  <c r="O120" i="3"/>
  <c r="N120" i="3"/>
  <c r="K120" i="3"/>
  <c r="F120" i="3"/>
  <c r="AD119" i="3"/>
  <c r="O119" i="3"/>
  <c r="N119" i="3"/>
  <c r="K119" i="3"/>
  <c r="F119" i="3"/>
  <c r="AD118" i="3"/>
  <c r="O118" i="3"/>
  <c r="N118" i="3"/>
  <c r="K118" i="3"/>
  <c r="F118" i="3"/>
  <c r="AD117" i="3"/>
  <c r="O117" i="3"/>
  <c r="N117" i="3"/>
  <c r="K117" i="3"/>
  <c r="F117" i="3"/>
  <c r="AD116" i="3"/>
  <c r="O116" i="3"/>
  <c r="N116" i="3"/>
  <c r="K116" i="3"/>
  <c r="F116" i="3"/>
  <c r="AC115" i="3"/>
  <c r="AB115" i="3"/>
  <c r="J115" i="3"/>
  <c r="I115" i="3"/>
  <c r="E115" i="3"/>
  <c r="D115" i="3"/>
  <c r="AD114" i="3"/>
  <c r="O114" i="3"/>
  <c r="N114" i="3"/>
  <c r="K114" i="3"/>
  <c r="AD113" i="3"/>
  <c r="O113" i="3"/>
  <c r="N113" i="3"/>
  <c r="K113" i="3"/>
  <c r="F113" i="3"/>
  <c r="AD112" i="3"/>
  <c r="O112" i="3"/>
  <c r="N112" i="3"/>
  <c r="K112" i="3"/>
  <c r="AD111" i="3"/>
  <c r="O111" i="3"/>
  <c r="N111" i="3"/>
  <c r="K111" i="3"/>
  <c r="F111" i="3"/>
  <c r="AD110" i="3"/>
  <c r="O110" i="3"/>
  <c r="N110" i="3"/>
  <c r="K110" i="3"/>
  <c r="F110" i="3"/>
  <c r="AD109" i="3"/>
  <c r="O109" i="3"/>
  <c r="N109" i="3"/>
  <c r="K109" i="3"/>
  <c r="F109" i="3"/>
  <c r="AD108" i="3"/>
  <c r="O108" i="3"/>
  <c r="N108" i="3"/>
  <c r="K108" i="3"/>
  <c r="F108" i="3"/>
  <c r="AC107" i="3"/>
  <c r="AB107" i="3"/>
  <c r="J107" i="3"/>
  <c r="J129" i="3" s="1"/>
  <c r="I107" i="3"/>
  <c r="E107" i="3"/>
  <c r="D107" i="3"/>
  <c r="AD106" i="3"/>
  <c r="O106" i="3"/>
  <c r="N106" i="3"/>
  <c r="K106" i="3"/>
  <c r="F106" i="3"/>
  <c r="AD105" i="3"/>
  <c r="O105" i="3"/>
  <c r="N105" i="3"/>
  <c r="K105" i="3"/>
  <c r="F105" i="3"/>
  <c r="AD104" i="3"/>
  <c r="O104" i="3"/>
  <c r="N104" i="3"/>
  <c r="K104" i="3"/>
  <c r="F104" i="3"/>
  <c r="AC103" i="3"/>
  <c r="AB103" i="3"/>
  <c r="J103" i="3"/>
  <c r="I103" i="3"/>
  <c r="E103" i="3"/>
  <c r="D103" i="3"/>
  <c r="AD102" i="3"/>
  <c r="O102" i="3"/>
  <c r="N102" i="3"/>
  <c r="K102" i="3"/>
  <c r="AD101" i="3"/>
  <c r="O101" i="3"/>
  <c r="N101" i="3"/>
  <c r="K101" i="3"/>
  <c r="F101" i="3"/>
  <c r="AD100" i="3"/>
  <c r="O100" i="3"/>
  <c r="N100" i="3"/>
  <c r="K100" i="3"/>
  <c r="F100" i="3"/>
  <c r="AD99" i="3"/>
  <c r="O99" i="3"/>
  <c r="N99" i="3"/>
  <c r="K99" i="3"/>
  <c r="F99" i="3"/>
  <c r="AD98" i="3"/>
  <c r="O98" i="3"/>
  <c r="N98" i="3"/>
  <c r="K98" i="3"/>
  <c r="F98" i="3"/>
  <c r="AD97" i="3"/>
  <c r="P97" i="3"/>
  <c r="K97" i="3"/>
  <c r="B97" i="3"/>
  <c r="AC92" i="3"/>
  <c r="AB92" i="3"/>
  <c r="J92" i="3"/>
  <c r="I92" i="3"/>
  <c r="I95" i="3" s="1"/>
  <c r="E92" i="3"/>
  <c r="D92" i="3"/>
  <c r="AD91" i="3"/>
  <c r="O91" i="3"/>
  <c r="N91" i="3"/>
  <c r="K91" i="3"/>
  <c r="AD90" i="3"/>
  <c r="O90" i="3"/>
  <c r="N90" i="3"/>
  <c r="K90" i="3"/>
  <c r="F90" i="3"/>
  <c r="AD89" i="3"/>
  <c r="O89" i="3"/>
  <c r="N89" i="3"/>
  <c r="K89" i="3"/>
  <c r="F89" i="3"/>
  <c r="AD88" i="3"/>
  <c r="O88" i="3"/>
  <c r="N88" i="3"/>
  <c r="K88" i="3"/>
  <c r="F88" i="3"/>
  <c r="AD87" i="3"/>
  <c r="X87" i="3"/>
  <c r="O87" i="3"/>
  <c r="N87" i="3"/>
  <c r="K87" i="3"/>
  <c r="F87" i="3"/>
  <c r="AD86" i="3"/>
  <c r="O86" i="3"/>
  <c r="N86" i="3"/>
  <c r="K86" i="3"/>
  <c r="F86" i="3"/>
  <c r="AC85" i="3"/>
  <c r="AB85" i="3"/>
  <c r="J85" i="3"/>
  <c r="I85" i="3"/>
  <c r="E85" i="3"/>
  <c r="D85" i="3"/>
  <c r="AD84" i="3"/>
  <c r="O84" i="3"/>
  <c r="N84" i="3"/>
  <c r="K84" i="3"/>
  <c r="AD83" i="3"/>
  <c r="O83" i="3"/>
  <c r="N83" i="3"/>
  <c r="K83" i="3"/>
  <c r="F83" i="3"/>
  <c r="AD82" i="3"/>
  <c r="O82" i="3"/>
  <c r="N82" i="3"/>
  <c r="K82" i="3"/>
  <c r="F82" i="3"/>
  <c r="AD81" i="3"/>
  <c r="O81" i="3"/>
  <c r="N81" i="3"/>
  <c r="K81" i="3"/>
  <c r="F81" i="3"/>
  <c r="AD80" i="3"/>
  <c r="O80" i="3"/>
  <c r="N80" i="3"/>
  <c r="K80" i="3"/>
  <c r="F80" i="3"/>
  <c r="AD79" i="3"/>
  <c r="O79" i="3"/>
  <c r="N79" i="3"/>
  <c r="K79" i="3"/>
  <c r="F79" i="3"/>
  <c r="AD77" i="3"/>
  <c r="O77" i="3"/>
  <c r="N77" i="3"/>
  <c r="K77" i="3"/>
  <c r="F77" i="3"/>
  <c r="AC76" i="3"/>
  <c r="J76" i="3"/>
  <c r="I76" i="3"/>
  <c r="E76" i="3"/>
  <c r="D76" i="3"/>
  <c r="AB75" i="3"/>
  <c r="AB76" i="3"/>
  <c r="O75" i="3"/>
  <c r="N75" i="3"/>
  <c r="K75" i="3"/>
  <c r="AD74" i="3"/>
  <c r="O74" i="3"/>
  <c r="N74" i="3"/>
  <c r="K74" i="3"/>
  <c r="F74" i="3"/>
  <c r="AD73" i="3"/>
  <c r="O73" i="3"/>
  <c r="N73" i="3"/>
  <c r="K73" i="3"/>
  <c r="F73" i="3"/>
  <c r="AD72" i="3"/>
  <c r="O72" i="3"/>
  <c r="N72" i="3"/>
  <c r="K72" i="3"/>
  <c r="F72" i="3"/>
  <c r="AD71" i="3"/>
  <c r="O71" i="3"/>
  <c r="N71" i="3"/>
  <c r="K71" i="3"/>
  <c r="F71" i="3"/>
  <c r="AD70" i="3"/>
  <c r="O70" i="3"/>
  <c r="N70" i="3"/>
  <c r="K70" i="3"/>
  <c r="F70" i="3"/>
  <c r="AD69" i="3"/>
  <c r="P69" i="3"/>
  <c r="K69" i="3"/>
  <c r="B69" i="3"/>
  <c r="AC66" i="3"/>
  <c r="AD64" i="3"/>
  <c r="O64" i="3"/>
  <c r="N64" i="3"/>
  <c r="K64" i="3"/>
  <c r="F64" i="3"/>
  <c r="AD62" i="3"/>
  <c r="AD61" i="3"/>
  <c r="O61" i="3"/>
  <c r="N61" i="3"/>
  <c r="K61" i="3"/>
  <c r="F61" i="3"/>
  <c r="AD60" i="3"/>
  <c r="AD59" i="3"/>
  <c r="O59" i="3"/>
  <c r="N59" i="3"/>
  <c r="K59" i="3"/>
  <c r="F59" i="3"/>
  <c r="AD57" i="3"/>
  <c r="O57" i="3"/>
  <c r="N57" i="3"/>
  <c r="K57" i="3"/>
  <c r="F57" i="3"/>
  <c r="AC56" i="3"/>
  <c r="J56" i="3"/>
  <c r="I56" i="3"/>
  <c r="E56" i="3"/>
  <c r="D56" i="3"/>
  <c r="F56" i="3" s="1"/>
  <c r="AD55" i="3"/>
  <c r="O55" i="3"/>
  <c r="N55" i="3"/>
  <c r="K55" i="3"/>
  <c r="AB54" i="3"/>
  <c r="AB56" i="3" s="1"/>
  <c r="AD54" i="3"/>
  <c r="O54" i="3"/>
  <c r="N54" i="3"/>
  <c r="K54" i="3"/>
  <c r="AD53" i="3"/>
  <c r="O53" i="3"/>
  <c r="N53" i="3"/>
  <c r="K53" i="3"/>
  <c r="F53" i="3"/>
  <c r="AD52" i="3"/>
  <c r="O52" i="3"/>
  <c r="N52" i="3"/>
  <c r="K52" i="3"/>
  <c r="F52" i="3"/>
  <c r="AD51" i="3"/>
  <c r="O51" i="3"/>
  <c r="N51" i="3"/>
  <c r="K51" i="3"/>
  <c r="F51" i="3"/>
  <c r="AD50" i="3"/>
  <c r="O50" i="3"/>
  <c r="N50" i="3"/>
  <c r="K50" i="3"/>
  <c r="F50" i="3"/>
  <c r="AD49" i="3"/>
  <c r="O49" i="3"/>
  <c r="N49" i="3"/>
  <c r="K49" i="3"/>
  <c r="F49" i="3"/>
  <c r="AD48" i="3"/>
  <c r="O48" i="3"/>
  <c r="N48" i="3"/>
  <c r="K48" i="3"/>
  <c r="F48" i="3"/>
  <c r="AD47" i="3"/>
  <c r="O47" i="3"/>
  <c r="N47" i="3"/>
  <c r="K47" i="3"/>
  <c r="F47" i="3"/>
  <c r="AC46" i="3"/>
  <c r="AB46" i="3"/>
  <c r="J46" i="3"/>
  <c r="I46" i="3"/>
  <c r="E46" i="3"/>
  <c r="D46" i="3"/>
  <c r="AD45" i="3"/>
  <c r="O45" i="3"/>
  <c r="N45" i="3"/>
  <c r="K45" i="3"/>
  <c r="AD44" i="3"/>
  <c r="O44" i="3"/>
  <c r="N44" i="3"/>
  <c r="K44" i="3"/>
  <c r="AD43" i="3"/>
  <c r="O43" i="3"/>
  <c r="N43" i="3"/>
  <c r="K43" i="3"/>
  <c r="F43" i="3"/>
  <c r="AD42" i="3"/>
  <c r="O42" i="3"/>
  <c r="N42" i="3"/>
  <c r="K42" i="3"/>
  <c r="F42" i="3"/>
  <c r="AD41" i="3"/>
  <c r="O41" i="3"/>
  <c r="N41" i="3"/>
  <c r="K41" i="3"/>
  <c r="F41" i="3"/>
  <c r="AD40" i="3"/>
  <c r="O40" i="3"/>
  <c r="N40" i="3"/>
  <c r="K40" i="3"/>
  <c r="F40" i="3"/>
  <c r="AD39" i="3"/>
  <c r="O39" i="3"/>
  <c r="N39" i="3"/>
  <c r="K39" i="3"/>
  <c r="F39" i="3"/>
  <c r="AD38" i="3"/>
  <c r="O38" i="3"/>
  <c r="N38" i="3"/>
  <c r="K38" i="3"/>
  <c r="F38" i="3"/>
  <c r="AD37" i="3"/>
  <c r="O37" i="3"/>
  <c r="N37" i="3"/>
  <c r="K37" i="3"/>
  <c r="F37" i="3"/>
  <c r="AC36" i="3"/>
  <c r="AB36" i="3"/>
  <c r="J36" i="3"/>
  <c r="I36" i="3"/>
  <c r="E36" i="3"/>
  <c r="D36" i="3"/>
  <c r="AD35" i="3"/>
  <c r="O35" i="3"/>
  <c r="N35" i="3"/>
  <c r="K35" i="3"/>
  <c r="AD34" i="3"/>
  <c r="O34" i="3"/>
  <c r="N34" i="3"/>
  <c r="K34" i="3"/>
  <c r="AD33" i="3"/>
  <c r="O33" i="3"/>
  <c r="N33" i="3"/>
  <c r="K33" i="3"/>
  <c r="F33" i="3"/>
  <c r="AD32" i="3"/>
  <c r="O32" i="3"/>
  <c r="N32" i="3"/>
  <c r="K32" i="3"/>
  <c r="F32" i="3"/>
  <c r="AD31" i="3"/>
  <c r="O31" i="3"/>
  <c r="N31" i="3"/>
  <c r="K31" i="3"/>
  <c r="F31" i="3"/>
  <c r="AD30" i="3"/>
  <c r="O30" i="3"/>
  <c r="N30" i="3"/>
  <c r="K30" i="3"/>
  <c r="F30" i="3"/>
  <c r="AD29" i="3"/>
  <c r="O29" i="3"/>
  <c r="N29" i="3"/>
  <c r="K29" i="3"/>
  <c r="F29" i="3"/>
  <c r="AD28" i="3"/>
  <c r="O28" i="3"/>
  <c r="N28" i="3"/>
  <c r="K28" i="3"/>
  <c r="F28" i="3"/>
  <c r="AD27" i="3"/>
  <c r="X27" i="3"/>
  <c r="O27" i="3"/>
  <c r="N27" i="3"/>
  <c r="K27" i="3"/>
  <c r="F27" i="3"/>
  <c r="AD26" i="3"/>
  <c r="O26" i="3"/>
  <c r="N26" i="3"/>
  <c r="K26" i="3"/>
  <c r="F26" i="3"/>
  <c r="AD25" i="3"/>
  <c r="P25" i="3"/>
  <c r="K25" i="3"/>
  <c r="B25" i="3"/>
  <c r="AD21" i="3"/>
  <c r="O21" i="3"/>
  <c r="N21" i="3"/>
  <c r="K21" i="3"/>
  <c r="AD20" i="3"/>
  <c r="O20" i="3"/>
  <c r="N20" i="3"/>
  <c r="K20" i="3"/>
  <c r="F20" i="3"/>
  <c r="AD19" i="3"/>
  <c r="O19" i="3"/>
  <c r="N19" i="3"/>
  <c r="K19" i="3"/>
  <c r="F19" i="3"/>
  <c r="AC18" i="3"/>
  <c r="AC22" i="3" s="1"/>
  <c r="AB18" i="3"/>
  <c r="J18" i="3"/>
  <c r="J22" i="3" s="1"/>
  <c r="I18" i="3"/>
  <c r="I22" i="3" s="1"/>
  <c r="E18" i="3"/>
  <c r="E22" i="3" s="1"/>
  <c r="D18" i="3"/>
  <c r="D22" i="3" s="1"/>
  <c r="O17" i="3"/>
  <c r="N17" i="3"/>
  <c r="AD16" i="3"/>
  <c r="AD18" i="3" s="1"/>
  <c r="O16" i="3"/>
  <c r="N16" i="3"/>
  <c r="K16" i="3"/>
  <c r="K18" i="3" s="1"/>
  <c r="F16" i="3"/>
  <c r="F18" i="3" s="1"/>
  <c r="AD15" i="3"/>
  <c r="X15" i="3"/>
  <c r="O15" i="3"/>
  <c r="N15" i="3"/>
  <c r="K15" i="3"/>
  <c r="F15" i="3"/>
  <c r="AD14" i="3"/>
  <c r="O14" i="3"/>
  <c r="N14" i="3"/>
  <c r="K14" i="3"/>
  <c r="F14" i="3"/>
  <c r="AD13" i="3"/>
  <c r="O13" i="3"/>
  <c r="N13" i="3"/>
  <c r="K13" i="3"/>
  <c r="F13" i="3"/>
  <c r="O12" i="3"/>
  <c r="N12" i="3"/>
  <c r="K12" i="3"/>
  <c r="F12" i="3"/>
  <c r="AD11" i="3"/>
  <c r="O11" i="3"/>
  <c r="N11" i="3"/>
  <c r="K11" i="3"/>
  <c r="F11" i="3"/>
  <c r="J10" i="3"/>
  <c r="I10" i="3"/>
  <c r="E10" i="3"/>
  <c r="D10" i="3"/>
  <c r="AD9" i="3"/>
  <c r="O9" i="3"/>
  <c r="N9" i="3"/>
  <c r="K9" i="3"/>
  <c r="AC8" i="3"/>
  <c r="AC10" i="3" s="1"/>
  <c r="AB8" i="3"/>
  <c r="O8" i="3"/>
  <c r="N8" i="3"/>
  <c r="K8" i="3"/>
  <c r="F8" i="3"/>
  <c r="AD7" i="3"/>
  <c r="O7" i="3"/>
  <c r="N7" i="3"/>
  <c r="K7" i="3"/>
  <c r="F7" i="3"/>
  <c r="AD6" i="3"/>
  <c r="O6" i="3"/>
  <c r="N6" i="3"/>
  <c r="K6" i="3"/>
  <c r="F6" i="3"/>
  <c r="AD5" i="3"/>
  <c r="O5" i="3"/>
  <c r="N5" i="3"/>
  <c r="K5" i="3"/>
  <c r="F5" i="3"/>
  <c r="B39" i="2"/>
  <c r="B38" i="2"/>
  <c r="B37" i="2"/>
  <c r="AD36" i="2"/>
  <c r="P36" i="2"/>
  <c r="K36" i="2"/>
  <c r="B36" i="2"/>
  <c r="AC26" i="2"/>
  <c r="J26" i="2"/>
  <c r="I26" i="2"/>
  <c r="E26" i="2"/>
  <c r="D26" i="2"/>
  <c r="AD25" i="2"/>
  <c r="O25" i="2"/>
  <c r="N25" i="2"/>
  <c r="K25" i="2"/>
  <c r="F25" i="2"/>
  <c r="AD24" i="2"/>
  <c r="O24" i="2"/>
  <c r="N24" i="2"/>
  <c r="K24" i="2"/>
  <c r="AD23" i="2"/>
  <c r="O23" i="2"/>
  <c r="N23" i="2"/>
  <c r="K23" i="2"/>
  <c r="F23" i="2"/>
  <c r="O22" i="2"/>
  <c r="N22" i="2"/>
  <c r="K22" i="2"/>
  <c r="F22" i="2"/>
  <c r="O21" i="2"/>
  <c r="N21" i="2"/>
  <c r="K21" i="2"/>
  <c r="F21" i="2"/>
  <c r="AC20" i="2"/>
  <c r="J20" i="2"/>
  <c r="I20" i="2"/>
  <c r="E20" i="2"/>
  <c r="D20" i="2"/>
  <c r="AD19" i="2"/>
  <c r="O19" i="2"/>
  <c r="N19" i="2"/>
  <c r="K19" i="2"/>
  <c r="N18" i="2"/>
  <c r="K18" i="2"/>
  <c r="AD17" i="2"/>
  <c r="O17" i="2"/>
  <c r="N17" i="2"/>
  <c r="K17" i="2"/>
  <c r="F17" i="2"/>
  <c r="AD16" i="2"/>
  <c r="O16" i="2"/>
  <c r="N16" i="2"/>
  <c r="K16" i="2"/>
  <c r="F16" i="2"/>
  <c r="AD15" i="2"/>
  <c r="O15" i="2"/>
  <c r="N15" i="2"/>
  <c r="K15" i="2"/>
  <c r="F15" i="2"/>
  <c r="AD14" i="2"/>
  <c r="O14" i="2"/>
  <c r="N14" i="2"/>
  <c r="K14" i="2"/>
  <c r="F14" i="2"/>
  <c r="AC13" i="2"/>
  <c r="AB13" i="2"/>
  <c r="J13" i="2"/>
  <c r="I13" i="2"/>
  <c r="E13" i="2"/>
  <c r="D13" i="2"/>
  <c r="AD12" i="2"/>
  <c r="O12" i="2"/>
  <c r="N12" i="2"/>
  <c r="AD11" i="2"/>
  <c r="X11" i="2"/>
  <c r="O11" i="2"/>
  <c r="N11" i="2"/>
  <c r="K11" i="2"/>
  <c r="F11" i="2"/>
  <c r="AD10" i="2"/>
  <c r="O10" i="2"/>
  <c r="N10" i="2"/>
  <c r="K10" i="2"/>
  <c r="F10" i="2"/>
  <c r="AD9" i="2"/>
  <c r="O9" i="2"/>
  <c r="N9" i="2"/>
  <c r="K9" i="2"/>
  <c r="F9" i="2"/>
  <c r="AD8" i="2"/>
  <c r="AD7" i="2"/>
  <c r="AD6" i="2"/>
  <c r="O6" i="2"/>
  <c r="N6" i="2"/>
  <c r="K6" i="2"/>
  <c r="F6" i="2"/>
  <c r="AD5" i="2"/>
  <c r="O5" i="2"/>
  <c r="N5" i="2"/>
  <c r="K5" i="2"/>
  <c r="F5" i="2"/>
  <c r="AC196" i="3"/>
  <c r="AC207" i="3" s="1"/>
  <c r="AD142" i="3"/>
  <c r="AD34" i="5"/>
  <c r="P28" i="4"/>
  <c r="P167" i="3"/>
  <c r="P187" i="3"/>
  <c r="X144" i="3"/>
  <c r="X151" i="3"/>
  <c r="P165" i="3"/>
  <c r="X29" i="4"/>
  <c r="K16" i="4"/>
  <c r="K40" i="4" s="1"/>
  <c r="X180" i="3"/>
  <c r="F13" i="2"/>
  <c r="F26" i="2"/>
  <c r="P29" i="4"/>
  <c r="AB24" i="4"/>
  <c r="AB35" i="4" s="1"/>
  <c r="AB8" i="1" s="1"/>
  <c r="X27" i="4"/>
  <c r="J24" i="4"/>
  <c r="J35" i="4" s="1"/>
  <c r="K34" i="4"/>
  <c r="K42" i="4" s="1"/>
  <c r="AD75" i="3"/>
  <c r="P122" i="3"/>
  <c r="J174" i="3"/>
  <c r="F103" i="3"/>
  <c r="F140" i="3"/>
  <c r="X188" i="3"/>
  <c r="X113" i="3"/>
  <c r="D27" i="2"/>
  <c r="D196" i="3"/>
  <c r="I196" i="3"/>
  <c r="K189" i="3"/>
  <c r="K196" i="3" s="1"/>
  <c r="K207" i="3" s="1"/>
  <c r="P158" i="3"/>
  <c r="I129" i="3"/>
  <c r="X186" i="3"/>
  <c r="X139" i="3"/>
  <c r="K23" i="4"/>
  <c r="K41" i="4" s="1"/>
  <c r="AD34" i="4"/>
  <c r="AD41" i="4"/>
  <c r="AB207" i="3"/>
  <c r="AD18" i="2"/>
  <c r="AB20" i="2"/>
  <c r="P147" i="3" l="1"/>
  <c r="P141" i="3"/>
  <c r="P142" i="3" s="1"/>
  <c r="P119" i="3"/>
  <c r="O172" i="3"/>
  <c r="P5" i="5"/>
  <c r="AK20" i="5"/>
  <c r="AK46" i="5" s="1"/>
  <c r="P12" i="4"/>
  <c r="AI24" i="4"/>
  <c r="AI35" i="4" s="1"/>
  <c r="AI8" i="1" s="1"/>
  <c r="AP24" i="4"/>
  <c r="AD16" i="4"/>
  <c r="AD40" i="4" s="1"/>
  <c r="AD10" i="4"/>
  <c r="AD24" i="4" s="1"/>
  <c r="AD35" i="4" s="1"/>
  <c r="P171" i="3"/>
  <c r="X109" i="3"/>
  <c r="P139" i="3"/>
  <c r="F149" i="3"/>
  <c r="P150" i="3"/>
  <c r="X152" i="3"/>
  <c r="X191" i="3"/>
  <c r="K107" i="3"/>
  <c r="D67" i="3"/>
  <c r="V149" i="3"/>
  <c r="P159" i="3"/>
  <c r="X160" i="3"/>
  <c r="X163" i="3"/>
  <c r="AK13" i="2"/>
  <c r="E27" i="2"/>
  <c r="P22" i="4"/>
  <c r="P27" i="4"/>
  <c r="X9" i="4"/>
  <c r="P13" i="4"/>
  <c r="X20" i="4"/>
  <c r="X21" i="4"/>
  <c r="K20" i="5"/>
  <c r="K46" i="5" s="1"/>
  <c r="F20" i="5"/>
  <c r="X25" i="5"/>
  <c r="X84" i="3"/>
  <c r="K103" i="3"/>
  <c r="P109" i="3"/>
  <c r="X30" i="3"/>
  <c r="P41" i="3"/>
  <c r="X43" i="3"/>
  <c r="X48" i="3"/>
  <c r="X55" i="3"/>
  <c r="K66" i="3"/>
  <c r="P82" i="3"/>
  <c r="P88" i="3"/>
  <c r="X90" i="3"/>
  <c r="P102" i="3"/>
  <c r="AD107" i="3"/>
  <c r="F107" i="3"/>
  <c r="P108" i="3"/>
  <c r="X110" i="3"/>
  <c r="P114" i="3"/>
  <c r="P121" i="3"/>
  <c r="X123" i="3"/>
  <c r="P126" i="3"/>
  <c r="P133" i="3"/>
  <c r="X135" i="3"/>
  <c r="K140" i="3"/>
  <c r="AB153" i="3"/>
  <c r="AB205" i="3" s="1"/>
  <c r="W161" i="3"/>
  <c r="F161" i="3"/>
  <c r="V172" i="3"/>
  <c r="P164" i="3"/>
  <c r="X165" i="3"/>
  <c r="AD172" i="3"/>
  <c r="P188" i="3"/>
  <c r="AJ23" i="3"/>
  <c r="S67" i="3"/>
  <c r="K56" i="3"/>
  <c r="F76" i="3"/>
  <c r="X79" i="3"/>
  <c r="P84" i="3"/>
  <c r="P98" i="3"/>
  <c r="P104" i="3"/>
  <c r="X106" i="3"/>
  <c r="Z106" i="3" s="1"/>
  <c r="P111" i="3"/>
  <c r="X112" i="3"/>
  <c r="P116" i="3"/>
  <c r="X118" i="3"/>
  <c r="X124" i="3"/>
  <c r="P136" i="3"/>
  <c r="X138" i="3"/>
  <c r="F189" i="3"/>
  <c r="F196" i="3" s="1"/>
  <c r="AK142" i="3"/>
  <c r="F10" i="3"/>
  <c r="AR36" i="3"/>
  <c r="I174" i="3"/>
  <c r="X167" i="3"/>
  <c r="R153" i="3"/>
  <c r="S153" i="3"/>
  <c r="D153" i="3"/>
  <c r="X162" i="3"/>
  <c r="O189" i="3"/>
  <c r="O196" i="3" s="1"/>
  <c r="AB22" i="3"/>
  <c r="X26" i="3"/>
  <c r="E67" i="3"/>
  <c r="F67" i="3" s="1"/>
  <c r="X39" i="3"/>
  <c r="P44" i="3"/>
  <c r="P50" i="3"/>
  <c r="K85" i="3"/>
  <c r="X101" i="3"/>
  <c r="P117" i="3"/>
  <c r="X125" i="3"/>
  <c r="F128" i="3"/>
  <c r="AR189" i="3"/>
  <c r="O140" i="3"/>
  <c r="AJ95" i="3"/>
  <c r="AK115" i="3"/>
  <c r="BD66" i="3"/>
  <c r="BE66" i="3"/>
  <c r="I153" i="3"/>
  <c r="AP128" i="3"/>
  <c r="AK36" i="3"/>
  <c r="AK56" i="3"/>
  <c r="P169" i="3"/>
  <c r="AC174" i="3"/>
  <c r="AC206" i="3" s="1"/>
  <c r="E23" i="3"/>
  <c r="AD92" i="3"/>
  <c r="AP153" i="3"/>
  <c r="AQ174" i="3"/>
  <c r="BF29" i="4"/>
  <c r="BG29" i="4" s="1"/>
  <c r="BF15" i="4"/>
  <c r="BF26" i="4"/>
  <c r="D129" i="3"/>
  <c r="I27" i="2"/>
  <c r="D95" i="3"/>
  <c r="J95" i="3"/>
  <c r="K95" i="3" s="1"/>
  <c r="K203" i="3" s="1"/>
  <c r="X133" i="3"/>
  <c r="P6" i="4"/>
  <c r="X8" i="4"/>
  <c r="X13" i="4"/>
  <c r="P17" i="4"/>
  <c r="X19" i="4"/>
  <c r="P21" i="4"/>
  <c r="X5" i="5"/>
  <c r="F23" i="4"/>
  <c r="Z67" i="3"/>
  <c r="Z24" i="4"/>
  <c r="Z35" i="4" s="1"/>
  <c r="P23" i="5"/>
  <c r="AR10" i="3"/>
  <c r="AR66" i="3"/>
  <c r="AR140" i="3"/>
  <c r="AR146" i="3"/>
  <c r="S27" i="2"/>
  <c r="S6" i="1" s="1"/>
  <c r="S95" i="3"/>
  <c r="P14" i="5"/>
  <c r="P9" i="5"/>
  <c r="AJ67" i="3"/>
  <c r="AJ24" i="4"/>
  <c r="V115" i="3"/>
  <c r="V66" i="3"/>
  <c r="V67" i="3" s="1"/>
  <c r="F142" i="3"/>
  <c r="AC153" i="3"/>
  <c r="AC205" i="3" s="1"/>
  <c r="X147" i="3"/>
  <c r="X149" i="3" s="1"/>
  <c r="P148" i="3"/>
  <c r="K149" i="3"/>
  <c r="N161" i="3"/>
  <c r="AD161" i="3"/>
  <c r="K161" i="3"/>
  <c r="E174" i="3"/>
  <c r="P191" i="3"/>
  <c r="X192" i="3"/>
  <c r="X195" i="3"/>
  <c r="P25" i="4"/>
  <c r="P31" i="4"/>
  <c r="X33" i="4"/>
  <c r="AI95" i="3"/>
  <c r="AK92" i="3"/>
  <c r="AK146" i="3"/>
  <c r="AI174" i="3"/>
  <c r="AK66" i="3"/>
  <c r="X6" i="3"/>
  <c r="X11" i="3"/>
  <c r="P33" i="3"/>
  <c r="X40" i="3"/>
  <c r="P51" i="3"/>
  <c r="X61" i="3"/>
  <c r="X81" i="3"/>
  <c r="P100" i="3"/>
  <c r="X120" i="3"/>
  <c r="P138" i="3"/>
  <c r="P144" i="3"/>
  <c r="X52" i="3"/>
  <c r="P71" i="3"/>
  <c r="X73" i="3"/>
  <c r="P77" i="3"/>
  <c r="X80" i="3"/>
  <c r="X86" i="3"/>
  <c r="P91" i="3"/>
  <c r="P99" i="3"/>
  <c r="V103" i="3"/>
  <c r="P105" i="3"/>
  <c r="X119" i="3"/>
  <c r="P137" i="3"/>
  <c r="O146" i="3"/>
  <c r="O153" i="3" s="1"/>
  <c r="X145" i="3"/>
  <c r="X150" i="3"/>
  <c r="P163" i="3"/>
  <c r="X164" i="3"/>
  <c r="X171" i="3"/>
  <c r="P178" i="3"/>
  <c r="X190" i="3"/>
  <c r="X32" i="3"/>
  <c r="P55" i="3"/>
  <c r="X71" i="3"/>
  <c r="P90" i="3"/>
  <c r="X99" i="3"/>
  <c r="X143" i="3"/>
  <c r="X156" i="3"/>
  <c r="X166" i="3"/>
  <c r="P168" i="3"/>
  <c r="P170" i="3"/>
  <c r="X179" i="3"/>
  <c r="X183" i="3"/>
  <c r="X185" i="3"/>
  <c r="X31" i="3"/>
  <c r="P53" i="3"/>
  <c r="P81" i="3"/>
  <c r="X83" i="3"/>
  <c r="P87" i="3"/>
  <c r="X89" i="3"/>
  <c r="P120" i="3"/>
  <c r="X122" i="3"/>
  <c r="X127" i="3"/>
  <c r="P132" i="3"/>
  <c r="X134" i="3"/>
  <c r="P151" i="3"/>
  <c r="X159" i="3"/>
  <c r="P173" i="3"/>
  <c r="BF38" i="5"/>
  <c r="BG38" i="5" s="1"/>
  <c r="K13" i="2"/>
  <c r="K37" i="2" s="1"/>
  <c r="I23" i="3"/>
  <c r="K46" i="3"/>
  <c r="P49" i="3"/>
  <c r="I67" i="3"/>
  <c r="X33" i="3"/>
  <c r="AD66" i="3"/>
  <c r="O103" i="3"/>
  <c r="O107" i="3"/>
  <c r="AD149" i="3"/>
  <c r="P143" i="3"/>
  <c r="F92" i="3"/>
  <c r="F36" i="3"/>
  <c r="X51" i="3"/>
  <c r="N92" i="3"/>
  <c r="E129" i="3"/>
  <c r="K146" i="3"/>
  <c r="N107" i="3"/>
  <c r="K174" i="3"/>
  <c r="K206" i="3" s="1"/>
  <c r="F115" i="3"/>
  <c r="AB129" i="3"/>
  <c r="AB204" i="3" s="1"/>
  <c r="AC129" i="3"/>
  <c r="AC204" i="3" s="1"/>
  <c r="X100" i="3"/>
  <c r="AB174" i="3"/>
  <c r="AB206" i="3" s="1"/>
  <c r="T107" i="3"/>
  <c r="K39" i="5"/>
  <c r="K49" i="5" s="1"/>
  <c r="K33" i="5"/>
  <c r="K48" i="5" s="1"/>
  <c r="J40" i="5"/>
  <c r="AR16" i="4"/>
  <c r="AP27" i="2"/>
  <c r="AP6" i="1" s="1"/>
  <c r="AR56" i="3"/>
  <c r="AR92" i="3"/>
  <c r="AQ24" i="4"/>
  <c r="AQ35" i="4" s="1"/>
  <c r="AQ8" i="1" s="1"/>
  <c r="AR23" i="4"/>
  <c r="BG15" i="4"/>
  <c r="BG26" i="4"/>
  <c r="AI67" i="3"/>
  <c r="AK103" i="3"/>
  <c r="AK27" i="5"/>
  <c r="AK47" i="5" s="1"/>
  <c r="AK50" i="5" s="1"/>
  <c r="AK39" i="5"/>
  <c r="AK49" i="5" s="1"/>
  <c r="N189" i="3"/>
  <c r="N196" i="3" s="1"/>
  <c r="V146" i="3"/>
  <c r="W172" i="3"/>
  <c r="W103" i="3"/>
  <c r="D174" i="3"/>
  <c r="W10" i="3"/>
  <c r="AB95" i="3"/>
  <c r="AB203" i="3" s="1"/>
  <c r="P80" i="3"/>
  <c r="X88" i="3"/>
  <c r="W115" i="3"/>
  <c r="AD115" i="3"/>
  <c r="O115" i="3"/>
  <c r="W128" i="3"/>
  <c r="P125" i="3"/>
  <c r="S24" i="4"/>
  <c r="S35" i="4" s="1"/>
  <c r="S8" i="1" s="1"/>
  <c r="T189" i="3"/>
  <c r="T196" i="3" s="1"/>
  <c r="T161" i="3"/>
  <c r="T149" i="3"/>
  <c r="R95" i="3"/>
  <c r="X6" i="2"/>
  <c r="Z174" i="3"/>
  <c r="P12" i="5"/>
  <c r="P11" i="5"/>
  <c r="P7" i="5"/>
  <c r="BF12" i="5"/>
  <c r="BG12" i="5" s="1"/>
  <c r="P70" i="3"/>
  <c r="X72" i="3"/>
  <c r="F20" i="2"/>
  <c r="X5" i="3"/>
  <c r="X19" i="3"/>
  <c r="P32" i="3"/>
  <c r="P166" i="3"/>
  <c r="F172" i="3"/>
  <c r="P179" i="3"/>
  <c r="AD189" i="3"/>
  <c r="AD196" i="3" s="1"/>
  <c r="AD207" i="3" s="1"/>
  <c r="P5" i="4"/>
  <c r="X7" i="4"/>
  <c r="P9" i="4"/>
  <c r="X12" i="4"/>
  <c r="P14" i="4"/>
  <c r="P20" i="4"/>
  <c r="X22" i="4"/>
  <c r="X26" i="4"/>
  <c r="X30" i="4"/>
  <c r="X32" i="4"/>
  <c r="X15" i="5"/>
  <c r="AD21" i="5"/>
  <c r="X31" i="5"/>
  <c r="X36" i="5"/>
  <c r="X38" i="5"/>
  <c r="T23" i="4"/>
  <c r="T16" i="4"/>
  <c r="R174" i="3"/>
  <c r="T146" i="3"/>
  <c r="R129" i="3"/>
  <c r="E24" i="4"/>
  <c r="E35" i="4" s="1"/>
  <c r="F35" i="4" s="1"/>
  <c r="X5" i="2"/>
  <c r="Z153" i="3"/>
  <c r="BF33" i="4"/>
  <c r="BG33" i="4" s="1"/>
  <c r="AJ174" i="3"/>
  <c r="AK23" i="4"/>
  <c r="X31" i="4"/>
  <c r="P33" i="4"/>
  <c r="P34" i="4" s="1"/>
  <c r="P42" i="4" s="1"/>
  <c r="AP23" i="3"/>
  <c r="AP67" i="3"/>
  <c r="AQ95" i="3"/>
  <c r="AP129" i="3"/>
  <c r="AJ27" i="2"/>
  <c r="AJ6" i="1" s="1"/>
  <c r="AK161" i="3"/>
  <c r="AT27" i="2"/>
  <c r="AW11" i="1" s="1"/>
  <c r="AR161" i="3"/>
  <c r="N103" i="3"/>
  <c r="AD76" i="3"/>
  <c r="V128" i="3"/>
  <c r="P31" i="3"/>
  <c r="X38" i="3"/>
  <c r="N149" i="3"/>
  <c r="P149" i="3" s="1"/>
  <c r="P160" i="3"/>
  <c r="T128" i="3"/>
  <c r="O85" i="3"/>
  <c r="X168" i="3"/>
  <c r="X170" i="3"/>
  <c r="X181" i="3"/>
  <c r="V76" i="3"/>
  <c r="X8" i="3"/>
  <c r="P194" i="3"/>
  <c r="P15" i="4"/>
  <c r="X15" i="4"/>
  <c r="O16" i="4"/>
  <c r="W10" i="4"/>
  <c r="N10" i="4"/>
  <c r="O10" i="4"/>
  <c r="V34" i="4"/>
  <c r="X25" i="4"/>
  <c r="N34" i="4"/>
  <c r="W34" i="4"/>
  <c r="V23" i="4"/>
  <c r="P19" i="4"/>
  <c r="P18" i="4"/>
  <c r="X18" i="4"/>
  <c r="X14" i="5"/>
  <c r="P8" i="5"/>
  <c r="X11" i="5"/>
  <c r="X21" i="5"/>
  <c r="W33" i="5"/>
  <c r="O39" i="5"/>
  <c r="P24" i="5"/>
  <c r="P22" i="5"/>
  <c r="W189" i="3"/>
  <c r="W196" i="3" s="1"/>
  <c r="V189" i="3"/>
  <c r="V196" i="3" s="1"/>
  <c r="X22" i="2"/>
  <c r="X19" i="2"/>
  <c r="X12" i="2"/>
  <c r="X10" i="2"/>
  <c r="P11" i="2"/>
  <c r="P14" i="2"/>
  <c r="P12" i="2"/>
  <c r="AB27" i="2"/>
  <c r="AB6" i="1" s="1"/>
  <c r="AD13" i="2"/>
  <c r="AD37" i="2" s="1"/>
  <c r="K20" i="2"/>
  <c r="K38" i="2" s="1"/>
  <c r="J27" i="2"/>
  <c r="R27" i="2"/>
  <c r="R6" i="1" s="1"/>
  <c r="AC27" i="2"/>
  <c r="AC6" i="1" s="1"/>
  <c r="AQ27" i="2"/>
  <c r="AQ6" i="1" s="1"/>
  <c r="P22" i="2"/>
  <c r="T20" i="2"/>
  <c r="T13" i="2"/>
  <c r="AK26" i="2"/>
  <c r="X18" i="2"/>
  <c r="AR20" i="2"/>
  <c r="AR13" i="2"/>
  <c r="Z27" i="2"/>
  <c r="F27" i="2"/>
  <c r="AF27" i="2"/>
  <c r="K26" i="2"/>
  <c r="K39" i="2" s="1"/>
  <c r="AD26" i="2"/>
  <c r="AD39" i="2" s="1"/>
  <c r="AR26" i="2"/>
  <c r="P8" i="4"/>
  <c r="P11" i="4"/>
  <c r="V16" i="4"/>
  <c r="X14" i="4"/>
  <c r="X6" i="4"/>
  <c r="X11" i="4"/>
  <c r="P7" i="4"/>
  <c r="F22" i="3"/>
  <c r="D23" i="3"/>
  <c r="F23" i="3" s="1"/>
  <c r="K10" i="3"/>
  <c r="AB67" i="3"/>
  <c r="AB202" i="3" s="1"/>
  <c r="E95" i="3"/>
  <c r="AD140" i="3"/>
  <c r="AI23" i="3"/>
  <c r="AK107" i="3"/>
  <c r="AK174" i="3"/>
  <c r="K22" i="3"/>
  <c r="AK46" i="3"/>
  <c r="T172" i="3"/>
  <c r="T140" i="3"/>
  <c r="T22" i="3"/>
  <c r="Z95" i="3"/>
  <c r="AQ153" i="3"/>
  <c r="AR22" i="3"/>
  <c r="BG69" i="3"/>
  <c r="AR107" i="3"/>
  <c r="AR142" i="3"/>
  <c r="AK22" i="3"/>
  <c r="AK85" i="3"/>
  <c r="X18" i="3"/>
  <c r="J67" i="3"/>
  <c r="AD146" i="3"/>
  <c r="S174" i="3"/>
  <c r="S129" i="3"/>
  <c r="T103" i="3"/>
  <c r="R67" i="3"/>
  <c r="AR128" i="3"/>
  <c r="AB10" i="3"/>
  <c r="AD8" i="3"/>
  <c r="AD10" i="3" s="1"/>
  <c r="AC23" i="3"/>
  <c r="AC201" i="3" s="1"/>
  <c r="K36" i="3"/>
  <c r="AD46" i="3"/>
  <c r="F46" i="3"/>
  <c r="AC67" i="3"/>
  <c r="AC202" i="3" s="1"/>
  <c r="K76" i="3"/>
  <c r="AD85" i="3"/>
  <c r="AD95" i="3" s="1"/>
  <c r="AD203" i="3" s="1"/>
  <c r="AC95" i="3"/>
  <c r="AC203" i="3" s="1"/>
  <c r="K92" i="3"/>
  <c r="AD103" i="3"/>
  <c r="K115" i="3"/>
  <c r="AD128" i="3"/>
  <c r="E153" i="3"/>
  <c r="T92" i="3"/>
  <c r="AI129" i="3"/>
  <c r="AK129" i="3" s="1"/>
  <c r="N10" i="3"/>
  <c r="AQ67" i="3"/>
  <c r="AP95" i="3"/>
  <c r="AR95" i="3" s="1"/>
  <c r="AQ129" i="3"/>
  <c r="AQ196" i="3"/>
  <c r="AR196" i="3" s="1"/>
  <c r="AK128" i="3"/>
  <c r="AK172" i="3"/>
  <c r="AT67" i="3"/>
  <c r="AI153" i="3"/>
  <c r="AJ153" i="3"/>
  <c r="N18" i="3"/>
  <c r="N22" i="3" s="1"/>
  <c r="P15" i="3"/>
  <c r="X34" i="3"/>
  <c r="N46" i="3"/>
  <c r="P52" i="3"/>
  <c r="P57" i="3"/>
  <c r="X59" i="3"/>
  <c r="N76" i="3"/>
  <c r="O76" i="3"/>
  <c r="P79" i="3"/>
  <c r="V85" i="3"/>
  <c r="X82" i="3"/>
  <c r="P86" i="3"/>
  <c r="V92" i="3"/>
  <c r="W92" i="3"/>
  <c r="P101" i="3"/>
  <c r="P103" i="3" s="1"/>
  <c r="X102" i="3"/>
  <c r="P106" i="3"/>
  <c r="X108" i="3"/>
  <c r="P112" i="3"/>
  <c r="P113" i="3"/>
  <c r="X114" i="3"/>
  <c r="O128" i="3"/>
  <c r="X121" i="3"/>
  <c r="P124" i="3"/>
  <c r="X126" i="3"/>
  <c r="X132" i="3"/>
  <c r="W140" i="3"/>
  <c r="P37" i="3"/>
  <c r="X45" i="3"/>
  <c r="X57" i="3"/>
  <c r="W66" i="3"/>
  <c r="O18" i="3"/>
  <c r="O22" i="3" s="1"/>
  <c r="W146" i="3"/>
  <c r="X173" i="3"/>
  <c r="X182" i="3"/>
  <c r="P185" i="3"/>
  <c r="P186" i="3"/>
  <c r="X187" i="3"/>
  <c r="P9" i="3"/>
  <c r="P16" i="3"/>
  <c r="P8" i="3"/>
  <c r="P11" i="3"/>
  <c r="X13" i="3"/>
  <c r="P21" i="3"/>
  <c r="P29" i="3"/>
  <c r="P30" i="3"/>
  <c r="P35" i="3"/>
  <c r="X37" i="3"/>
  <c r="P42" i="3"/>
  <c r="P43" i="3"/>
  <c r="X44" i="3"/>
  <c r="P47" i="3"/>
  <c r="P48" i="3"/>
  <c r="X49" i="3"/>
  <c r="X50" i="3"/>
  <c r="P54" i="3"/>
  <c r="X70" i="3"/>
  <c r="W76" i="3"/>
  <c r="P75" i="3"/>
  <c r="P83" i="3"/>
  <c r="P89" i="3"/>
  <c r="X91" i="3"/>
  <c r="X98" i="3"/>
  <c r="N115" i="3"/>
  <c r="P110" i="3"/>
  <c r="X111" i="3"/>
  <c r="X116" i="3"/>
  <c r="X117" i="3"/>
  <c r="P127" i="3"/>
  <c r="P134" i="3"/>
  <c r="P135" i="3"/>
  <c r="X136" i="3"/>
  <c r="X137" i="3"/>
  <c r="BF194" i="3"/>
  <c r="BG194" i="3" s="1"/>
  <c r="X7" i="3"/>
  <c r="P192" i="3"/>
  <c r="X193" i="3"/>
  <c r="P40" i="3"/>
  <c r="X42" i="3"/>
  <c r="X54" i="3"/>
  <c r="P59" i="3"/>
  <c r="P61" i="3"/>
  <c r="P64" i="3"/>
  <c r="P74" i="3"/>
  <c r="X75" i="3"/>
  <c r="W149" i="3"/>
  <c r="P152" i="3"/>
  <c r="N172" i="3"/>
  <c r="P23" i="2"/>
  <c r="X24" i="2"/>
  <c r="P38" i="5"/>
  <c r="P18" i="5"/>
  <c r="X35" i="5"/>
  <c r="X10" i="5"/>
  <c r="X18" i="5"/>
  <c r="X22" i="5"/>
  <c r="X16" i="5"/>
  <c r="P35" i="5"/>
  <c r="P26" i="5"/>
  <c r="X9" i="5"/>
  <c r="X17" i="5"/>
  <c r="X26" i="5"/>
  <c r="X25" i="2"/>
  <c r="X17" i="2"/>
  <c r="P16" i="2"/>
  <c r="X21" i="2"/>
  <c r="N26" i="2"/>
  <c r="P19" i="2"/>
  <c r="P25" i="2"/>
  <c r="P17" i="2"/>
  <c r="P18" i="2"/>
  <c r="P21" i="2"/>
  <c r="P6" i="2"/>
  <c r="X14" i="2"/>
  <c r="V13" i="2"/>
  <c r="X9" i="2"/>
  <c r="X15" i="2"/>
  <c r="X8" i="2"/>
  <c r="P9" i="2"/>
  <c r="N20" i="2"/>
  <c r="P24" i="2"/>
  <c r="P5" i="2"/>
  <c r="O20" i="2"/>
  <c r="X7" i="2"/>
  <c r="BE16" i="4"/>
  <c r="BF7" i="4"/>
  <c r="BG7" i="4" s="1"/>
  <c r="BF27" i="4"/>
  <c r="BG27" i="4" s="1"/>
  <c r="BF31" i="4"/>
  <c r="BG31" i="4" s="1"/>
  <c r="BE33" i="5"/>
  <c r="AD39" i="4"/>
  <c r="N13" i="2"/>
  <c r="AD42" i="4"/>
  <c r="AD174" i="3"/>
  <c r="AD206" i="3" s="1"/>
  <c r="W13" i="2"/>
  <c r="P10" i="2"/>
  <c r="AD20" i="2"/>
  <c r="AD38" i="2" s="1"/>
  <c r="K10" i="4"/>
  <c r="K39" i="4" s="1"/>
  <c r="K43" i="4" s="1"/>
  <c r="I24" i="4"/>
  <c r="W23" i="4"/>
  <c r="X17" i="4"/>
  <c r="N16" i="4"/>
  <c r="J153" i="3"/>
  <c r="V140" i="3"/>
  <c r="P162" i="3"/>
  <c r="O92" i="3"/>
  <c r="V161" i="3"/>
  <c r="N140" i="3"/>
  <c r="N36" i="3"/>
  <c r="O26" i="2"/>
  <c r="X23" i="2"/>
  <c r="P15" i="2"/>
  <c r="X141" i="3"/>
  <c r="X142" i="3" s="1"/>
  <c r="O23" i="4"/>
  <c r="N23" i="4"/>
  <c r="V20" i="2"/>
  <c r="F85" i="3"/>
  <c r="W20" i="2"/>
  <c r="X16" i="2"/>
  <c r="X5" i="4"/>
  <c r="V10" i="4"/>
  <c r="W16" i="4"/>
  <c r="O13" i="2"/>
  <c r="J23" i="3"/>
  <c r="P38" i="3"/>
  <c r="N146" i="3"/>
  <c r="P145" i="3"/>
  <c r="P156" i="3"/>
  <c r="O161" i="3"/>
  <c r="O174" i="3" s="1"/>
  <c r="X20" i="3"/>
  <c r="V22" i="3"/>
  <c r="O36" i="3"/>
  <c r="P26" i="3"/>
  <c r="X77" i="3"/>
  <c r="W85" i="3"/>
  <c r="V107" i="3"/>
  <c r="X104" i="3"/>
  <c r="X105" i="3"/>
  <c r="Z105" i="3" s="1"/>
  <c r="Z107" i="3" s="1"/>
  <c r="Z129" i="3" s="1"/>
  <c r="W107" i="3"/>
  <c r="N128" i="3"/>
  <c r="P118" i="3"/>
  <c r="K128" i="3"/>
  <c r="T10" i="3"/>
  <c r="AJ35" i="4"/>
  <c r="O34" i="4"/>
  <c r="X12" i="3"/>
  <c r="O46" i="3"/>
  <c r="V46" i="3"/>
  <c r="N56" i="3"/>
  <c r="O56" i="3"/>
  <c r="V56" i="3"/>
  <c r="X53" i="3"/>
  <c r="X64" i="3"/>
  <c r="P72" i="3"/>
  <c r="X74" i="3"/>
  <c r="X29" i="5"/>
  <c r="T26" i="2"/>
  <c r="R24" i="4"/>
  <c r="R35" i="4" s="1"/>
  <c r="R8" i="1" s="1"/>
  <c r="T115" i="3"/>
  <c r="T46" i="3"/>
  <c r="T36" i="3"/>
  <c r="AD37" i="5"/>
  <c r="AD39" i="5" s="1"/>
  <c r="AD49" i="5" s="1"/>
  <c r="AB39" i="5"/>
  <c r="AB40" i="5" s="1"/>
  <c r="AB9" i="1" s="1"/>
  <c r="N39" i="5"/>
  <c r="AP35" i="4"/>
  <c r="V10" i="3"/>
  <c r="X10" i="3" s="1"/>
  <c r="P7" i="3"/>
  <c r="P13" i="3"/>
  <c r="P14" i="3"/>
  <c r="AD22" i="3"/>
  <c r="P20" i="3"/>
  <c r="X21" i="3"/>
  <c r="P27" i="3"/>
  <c r="P28" i="3"/>
  <c r="X29" i="3"/>
  <c r="P34" i="3"/>
  <c r="X35" i="3"/>
  <c r="W27" i="5"/>
  <c r="T34" i="4"/>
  <c r="T10" i="4"/>
  <c r="AR27" i="2"/>
  <c r="AR6" i="1" s="1"/>
  <c r="AK196" i="3"/>
  <c r="AJ197" i="3"/>
  <c r="P6" i="3"/>
  <c r="X9" i="3"/>
  <c r="P12" i="3"/>
  <c r="X14" i="3"/>
  <c r="P17" i="3"/>
  <c r="P19" i="3"/>
  <c r="W22" i="3"/>
  <c r="X28" i="3"/>
  <c r="AD36" i="3"/>
  <c r="P39" i="3"/>
  <c r="X41" i="3"/>
  <c r="P45" i="3"/>
  <c r="W56" i="3"/>
  <c r="AD56" i="3"/>
  <c r="P73" i="3"/>
  <c r="N85" i="3"/>
  <c r="AK95" i="3"/>
  <c r="T76" i="3"/>
  <c r="T56" i="3"/>
  <c r="S40" i="5"/>
  <c r="S9" i="1" s="1"/>
  <c r="F33" i="5"/>
  <c r="E40" i="5"/>
  <c r="AQ23" i="3"/>
  <c r="AP174" i="3"/>
  <c r="AR174" i="3" s="1"/>
  <c r="AR115" i="3"/>
  <c r="AR10" i="4"/>
  <c r="AK140" i="3"/>
  <c r="AK10" i="4"/>
  <c r="AK34" i="4"/>
  <c r="X30" i="5"/>
  <c r="X32" i="5"/>
  <c r="X37" i="5"/>
  <c r="T85" i="3"/>
  <c r="N27" i="5"/>
  <c r="AR46" i="3"/>
  <c r="AR76" i="3"/>
  <c r="BD33" i="5"/>
  <c r="AF50" i="5"/>
  <c r="P37" i="5"/>
  <c r="P34" i="5"/>
  <c r="BG159" i="3"/>
  <c r="AI27" i="2"/>
  <c r="AK33" i="5"/>
  <c r="AK48" i="5" s="1"/>
  <c r="AR85" i="3"/>
  <c r="O10" i="3"/>
  <c r="W46" i="3"/>
  <c r="X47" i="3"/>
  <c r="P5" i="3"/>
  <c r="BF143" i="3"/>
  <c r="BG143" i="3" s="1"/>
  <c r="BF151" i="3"/>
  <c r="BG151" i="3" s="1"/>
  <c r="BF156" i="3"/>
  <c r="BG156" i="3" s="1"/>
  <c r="BF14" i="5"/>
  <c r="BG14" i="5" s="1"/>
  <c r="BF16" i="5"/>
  <c r="BG16" i="5" s="1"/>
  <c r="BF21" i="5"/>
  <c r="BF23" i="5"/>
  <c r="BG23" i="5" s="1"/>
  <c r="BF25" i="5"/>
  <c r="BG25" i="5" s="1"/>
  <c r="BF29" i="5"/>
  <c r="BG29" i="5" s="1"/>
  <c r="BF31" i="5"/>
  <c r="BG31" i="5" s="1"/>
  <c r="BF34" i="5"/>
  <c r="BG34" i="5" s="1"/>
  <c r="BF36" i="5"/>
  <c r="BG36" i="5" s="1"/>
  <c r="BD27" i="5"/>
  <c r="AR20" i="5"/>
  <c r="AR46" i="5" s="1"/>
  <c r="AD33" i="5"/>
  <c r="AD48" i="5" s="1"/>
  <c r="AD20" i="5"/>
  <c r="AD46" i="5" s="1"/>
  <c r="X8" i="5"/>
  <c r="W20" i="5"/>
  <c r="X12" i="5"/>
  <c r="X13" i="5"/>
  <c r="AC40" i="5"/>
  <c r="AC9" i="1" s="1"/>
  <c r="W39" i="5"/>
  <c r="T39" i="5"/>
  <c r="T27" i="5"/>
  <c r="AE50" i="5"/>
  <c r="F27" i="5"/>
  <c r="F39" i="5"/>
  <c r="V39" i="5"/>
  <c r="T33" i="5"/>
  <c r="T20" i="5"/>
  <c r="O20" i="5"/>
  <c r="O33" i="5"/>
  <c r="P25" i="5"/>
  <c r="P16" i="5"/>
  <c r="N20" i="5"/>
  <c r="P13" i="5"/>
  <c r="AQ40" i="5"/>
  <c r="AQ9" i="1" s="1"/>
  <c r="AI40" i="5"/>
  <c r="AI9" i="1" s="1"/>
  <c r="V20" i="5"/>
  <c r="X19" i="5"/>
  <c r="AD27" i="5"/>
  <c r="AD47" i="5" s="1"/>
  <c r="V27" i="5"/>
  <c r="X24" i="5"/>
  <c r="Z40" i="5"/>
  <c r="R40" i="5"/>
  <c r="R9" i="1" s="1"/>
  <c r="P36" i="5"/>
  <c r="P32" i="5"/>
  <c r="P31" i="5"/>
  <c r="P30" i="5"/>
  <c r="N33" i="5"/>
  <c r="I40" i="5"/>
  <c r="P21" i="5"/>
  <c r="AR39" i="5"/>
  <c r="AR49" i="5" s="1"/>
  <c r="AJ40" i="5"/>
  <c r="AJ9" i="1" s="1"/>
  <c r="Z50" i="5"/>
  <c r="O27" i="5"/>
  <c r="P29" i="5"/>
  <c r="K27" i="5"/>
  <c r="K47" i="5" s="1"/>
  <c r="D40" i="5"/>
  <c r="AR21" i="5"/>
  <c r="AP27" i="5"/>
  <c r="X34" i="5"/>
  <c r="X7" i="5"/>
  <c r="X23" i="5"/>
  <c r="BF173" i="3"/>
  <c r="BG173" i="3" s="1"/>
  <c r="BF152" i="3"/>
  <c r="BG152" i="3" s="1"/>
  <c r="BE34" i="4"/>
  <c r="BF119" i="3"/>
  <c r="BG119" i="3" s="1"/>
  <c r="BF123" i="3"/>
  <c r="BG123" i="3" s="1"/>
  <c r="BF133" i="3"/>
  <c r="BG133" i="3" s="1"/>
  <c r="BF139" i="3"/>
  <c r="BG139" i="3" s="1"/>
  <c r="BF148" i="3"/>
  <c r="BG148" i="3" s="1"/>
  <c r="BD189" i="3"/>
  <c r="BD196" i="3" s="1"/>
  <c r="BF180" i="3"/>
  <c r="BG180" i="3" s="1"/>
  <c r="BF184" i="3"/>
  <c r="BG184" i="3" s="1"/>
  <c r="BF188" i="3"/>
  <c r="BG188" i="3" s="1"/>
  <c r="BF193" i="3"/>
  <c r="BG193" i="3" s="1"/>
  <c r="BF6" i="4"/>
  <c r="BG6" i="4" s="1"/>
  <c r="BF8" i="4"/>
  <c r="BG8" i="4" s="1"/>
  <c r="BF11" i="4"/>
  <c r="BG11" i="4" s="1"/>
  <c r="BF13" i="4"/>
  <c r="BG13" i="4" s="1"/>
  <c r="BF18" i="4"/>
  <c r="BG18" i="4" s="1"/>
  <c r="BF20" i="4"/>
  <c r="BG20" i="4" s="1"/>
  <c r="BF28" i="4"/>
  <c r="BG28" i="4" s="1"/>
  <c r="BF30" i="4"/>
  <c r="BG30" i="4" s="1"/>
  <c r="BF15" i="5"/>
  <c r="BG15" i="5" s="1"/>
  <c r="BE39" i="5"/>
  <c r="BF178" i="3"/>
  <c r="BE115" i="3"/>
  <c r="BF9" i="5"/>
  <c r="BG9" i="5" s="1"/>
  <c r="BF30" i="5"/>
  <c r="BG30" i="5" s="1"/>
  <c r="BF32" i="5"/>
  <c r="BG32" i="5" s="1"/>
  <c r="BE10" i="4"/>
  <c r="BF21" i="4"/>
  <c r="BG21" i="4" s="1"/>
  <c r="BD39" i="5"/>
  <c r="BF81" i="3"/>
  <c r="BG81" i="3" s="1"/>
  <c r="BD140" i="3"/>
  <c r="BD149" i="3"/>
  <c r="BF181" i="3"/>
  <c r="BG181" i="3" s="1"/>
  <c r="BF183" i="3"/>
  <c r="BG183" i="3" s="1"/>
  <c r="BF12" i="4"/>
  <c r="BG12" i="4" s="1"/>
  <c r="BD16" i="4"/>
  <c r="BF17" i="4"/>
  <c r="BG17" i="4" s="1"/>
  <c r="BF19" i="4"/>
  <c r="BG19" i="4" s="1"/>
  <c r="BF25" i="4"/>
  <c r="BG25" i="4" s="1"/>
  <c r="BF14" i="4"/>
  <c r="BG14" i="4" s="1"/>
  <c r="BF24" i="2"/>
  <c r="BG24" i="2" s="1"/>
  <c r="BF165" i="3"/>
  <c r="BG165" i="3" s="1"/>
  <c r="BF167" i="3"/>
  <c r="BG167" i="3" s="1"/>
  <c r="BF169" i="3"/>
  <c r="BG169" i="3" s="1"/>
  <c r="BF171" i="3"/>
  <c r="BG171" i="3" s="1"/>
  <c r="BF5" i="5"/>
  <c r="BG5" i="5" s="1"/>
  <c r="BF8" i="5"/>
  <c r="BG8" i="5" s="1"/>
  <c r="BF10" i="5"/>
  <c r="BG10" i="5" s="1"/>
  <c r="BF18" i="5"/>
  <c r="BG18" i="5" s="1"/>
  <c r="BE56" i="3"/>
  <c r="BE149" i="3"/>
  <c r="BF137" i="3"/>
  <c r="BG137" i="3" s="1"/>
  <c r="BF9" i="3"/>
  <c r="BG9" i="3" s="1"/>
  <c r="BF28" i="3"/>
  <c r="BG28" i="3" s="1"/>
  <c r="BF34" i="3"/>
  <c r="BG34" i="3" s="1"/>
  <c r="BF39" i="3"/>
  <c r="BG39" i="3" s="1"/>
  <c r="BF41" i="3"/>
  <c r="BG41" i="3" s="1"/>
  <c r="BF45" i="3"/>
  <c r="BG45" i="3" s="1"/>
  <c r="BF50" i="3"/>
  <c r="BG50" i="3" s="1"/>
  <c r="BF54" i="3"/>
  <c r="BG54" i="3" s="1"/>
  <c r="BF62" i="3"/>
  <c r="BG62" i="3" s="1"/>
  <c r="BF111" i="3"/>
  <c r="BG111" i="3" s="1"/>
  <c r="BF113" i="3"/>
  <c r="BG113" i="3" s="1"/>
  <c r="BF8" i="3"/>
  <c r="BG8" i="3" s="1"/>
  <c r="BF19" i="3"/>
  <c r="BG19" i="3" s="1"/>
  <c r="BF40" i="3"/>
  <c r="BG40" i="3" s="1"/>
  <c r="BF42" i="3"/>
  <c r="BG42" i="3" s="1"/>
  <c r="BF44" i="3"/>
  <c r="BG44" i="3" s="1"/>
  <c r="BF73" i="3"/>
  <c r="BG73" i="3" s="1"/>
  <c r="BF83" i="3"/>
  <c r="BG83" i="3" s="1"/>
  <c r="BF86" i="3"/>
  <c r="BG86" i="3" s="1"/>
  <c r="BF88" i="3"/>
  <c r="BG88" i="3" s="1"/>
  <c r="BF90" i="3"/>
  <c r="BG90" i="3" s="1"/>
  <c r="BF100" i="3"/>
  <c r="BG100" i="3" s="1"/>
  <c r="BF102" i="3"/>
  <c r="BG102" i="3" s="1"/>
  <c r="BF110" i="3"/>
  <c r="BG110" i="3" s="1"/>
  <c r="BF114" i="3"/>
  <c r="BG114" i="3" s="1"/>
  <c r="BF117" i="3"/>
  <c r="BG117" i="3" s="1"/>
  <c r="BF125" i="3"/>
  <c r="BG125" i="3" s="1"/>
  <c r="BD103" i="3"/>
  <c r="BD107" i="3"/>
  <c r="BF11" i="3"/>
  <c r="BG11" i="3" s="1"/>
  <c r="BF13" i="3"/>
  <c r="BG13" i="3" s="1"/>
  <c r="BF15" i="3"/>
  <c r="BG15" i="3" s="1"/>
  <c r="BF17" i="3"/>
  <c r="BG17" i="3" s="1"/>
  <c r="BF21" i="3"/>
  <c r="BG21" i="3" s="1"/>
  <c r="BF33" i="3"/>
  <c r="BG33" i="3" s="1"/>
  <c r="BF35" i="3"/>
  <c r="BG35" i="3" s="1"/>
  <c r="BF47" i="3"/>
  <c r="BG47" i="3" s="1"/>
  <c r="BF49" i="3"/>
  <c r="BG49" i="3" s="1"/>
  <c r="BF51" i="3"/>
  <c r="BG51" i="3" s="1"/>
  <c r="BF55" i="3"/>
  <c r="BG55" i="3" s="1"/>
  <c r="BF75" i="3"/>
  <c r="BG75" i="3" s="1"/>
  <c r="BF79" i="3"/>
  <c r="BG79" i="3" s="1"/>
  <c r="BF98" i="3"/>
  <c r="BG98" i="3" s="1"/>
  <c r="BF108" i="3"/>
  <c r="BG108" i="3" s="1"/>
  <c r="BF121" i="3"/>
  <c r="BG121" i="3" s="1"/>
  <c r="BF127" i="3"/>
  <c r="BG127" i="3" s="1"/>
  <c r="BF135" i="3"/>
  <c r="BG135" i="3" s="1"/>
  <c r="BF145" i="3"/>
  <c r="BG145" i="3" s="1"/>
  <c r="BF182" i="3"/>
  <c r="BG182" i="3" s="1"/>
  <c r="BF186" i="3"/>
  <c r="BG186" i="3" s="1"/>
  <c r="BF191" i="3"/>
  <c r="BG191" i="3" s="1"/>
  <c r="BD36" i="3"/>
  <c r="BD46" i="3"/>
  <c r="BD76" i="3"/>
  <c r="BD85" i="3"/>
  <c r="BD92" i="3"/>
  <c r="BD115" i="3"/>
  <c r="BD128" i="3"/>
  <c r="BD146" i="3"/>
  <c r="BD161" i="3"/>
  <c r="BD10" i="4"/>
  <c r="BD23" i="4"/>
  <c r="BD22" i="3"/>
  <c r="BF23" i="2"/>
  <c r="BG23" i="2" s="1"/>
  <c r="BF170" i="3"/>
  <c r="BG170" i="3" s="1"/>
  <c r="BE46" i="3"/>
  <c r="BD56" i="3"/>
  <c r="BD10" i="3"/>
  <c r="BF37" i="3"/>
  <c r="BG37" i="3" s="1"/>
  <c r="BF18" i="3"/>
  <c r="BG18" i="3" s="1"/>
  <c r="BF5" i="4"/>
  <c r="BG5" i="4" s="1"/>
  <c r="BF48" i="3"/>
  <c r="BG48" i="3" s="1"/>
  <c r="BF12" i="3"/>
  <c r="BG12" i="3" s="1"/>
  <c r="BF14" i="3"/>
  <c r="BG14" i="3" s="1"/>
  <c r="BF16" i="3"/>
  <c r="BG16" i="3" s="1"/>
  <c r="BF30" i="3"/>
  <c r="BG30" i="3" s="1"/>
  <c r="BF32" i="3"/>
  <c r="BG32" i="3" s="1"/>
  <c r="BF52" i="3"/>
  <c r="BG52" i="3" s="1"/>
  <c r="BF60" i="3"/>
  <c r="BG60" i="3" s="1"/>
  <c r="BF185" i="3"/>
  <c r="BG185" i="3" s="1"/>
  <c r="BF187" i="3"/>
  <c r="BG187" i="3" s="1"/>
  <c r="BF190" i="3"/>
  <c r="BG190" i="3" s="1"/>
  <c r="BF192" i="3"/>
  <c r="BG192" i="3" s="1"/>
  <c r="BE13" i="2"/>
  <c r="BE26" i="2"/>
  <c r="BE172" i="3"/>
  <c r="BF32" i="4"/>
  <c r="BG32" i="4" s="1"/>
  <c r="BE20" i="5"/>
  <c r="BF11" i="5"/>
  <c r="BG11" i="5" s="1"/>
  <c r="BF13" i="5"/>
  <c r="BG13" i="5" s="1"/>
  <c r="BF17" i="5"/>
  <c r="BG17" i="5" s="1"/>
  <c r="BF19" i="5"/>
  <c r="BG19" i="5" s="1"/>
  <c r="BF22" i="5"/>
  <c r="BG22" i="5" s="1"/>
  <c r="BF26" i="5"/>
  <c r="BG26" i="5" s="1"/>
  <c r="BE10" i="3"/>
  <c r="BF59" i="3"/>
  <c r="BG59" i="3" s="1"/>
  <c r="BF61" i="3"/>
  <c r="BG61" i="3" s="1"/>
  <c r="BF64" i="3"/>
  <c r="BG64" i="3" s="1"/>
  <c r="BF17" i="2"/>
  <c r="BG17" i="2" s="1"/>
  <c r="BF19" i="2"/>
  <c r="BG19" i="2" s="1"/>
  <c r="BF5" i="3"/>
  <c r="BG5" i="3" s="1"/>
  <c r="BF7" i="5"/>
  <c r="BG7" i="5" s="1"/>
  <c r="BE27" i="5"/>
  <c r="BF8" i="2"/>
  <c r="BG8" i="2" s="1"/>
  <c r="BF10" i="2"/>
  <c r="BG10" i="2" s="1"/>
  <c r="BE23" i="4"/>
  <c r="BF162" i="3"/>
  <c r="BG162" i="3" s="1"/>
  <c r="BF7" i="3"/>
  <c r="BG7" i="3" s="1"/>
  <c r="BF7" i="2"/>
  <c r="BF9" i="2"/>
  <c r="BG9" i="2" s="1"/>
  <c r="BF16" i="2"/>
  <c r="BG16" i="2" s="1"/>
  <c r="BF18" i="2"/>
  <c r="BF164" i="3"/>
  <c r="BG164" i="3" s="1"/>
  <c r="BF166" i="3"/>
  <c r="BG166" i="3" s="1"/>
  <c r="BF168" i="3"/>
  <c r="BG168" i="3" s="1"/>
  <c r="BF195" i="3"/>
  <c r="BG195" i="3" s="1"/>
  <c r="BF71" i="3"/>
  <c r="BG71" i="3" s="1"/>
  <c r="BF105" i="3"/>
  <c r="BG105" i="3" s="1"/>
  <c r="BF112" i="3"/>
  <c r="BG112" i="3" s="1"/>
  <c r="BF14" i="2"/>
  <c r="BG14" i="2" s="1"/>
  <c r="BF70" i="3"/>
  <c r="BG70" i="3" s="1"/>
  <c r="BF72" i="3"/>
  <c r="BG72" i="3" s="1"/>
  <c r="BF74" i="3"/>
  <c r="BG74" i="3" s="1"/>
  <c r="BF80" i="3"/>
  <c r="BG80" i="3" s="1"/>
  <c r="BF82" i="3"/>
  <c r="BG82" i="3" s="1"/>
  <c r="BF84" i="3"/>
  <c r="BG84" i="3" s="1"/>
  <c r="BF87" i="3"/>
  <c r="BG87" i="3" s="1"/>
  <c r="BF89" i="3"/>
  <c r="BG89" i="3" s="1"/>
  <c r="BF91" i="3"/>
  <c r="BG91" i="3" s="1"/>
  <c r="BF101" i="3"/>
  <c r="BG101" i="3" s="1"/>
  <c r="BF104" i="3"/>
  <c r="BG104" i="3" s="1"/>
  <c r="BF106" i="3"/>
  <c r="BG106" i="3" s="1"/>
  <c r="BF109" i="3"/>
  <c r="BG109" i="3" s="1"/>
  <c r="BF118" i="3"/>
  <c r="BG118" i="3" s="1"/>
  <c r="BF120" i="3"/>
  <c r="BG120" i="3" s="1"/>
  <c r="BF122" i="3"/>
  <c r="BG122" i="3" s="1"/>
  <c r="BF124" i="3"/>
  <c r="BG124" i="3" s="1"/>
  <c r="BF126" i="3"/>
  <c r="BG126" i="3" s="1"/>
  <c r="BF134" i="3"/>
  <c r="BG134" i="3" s="1"/>
  <c r="BF136" i="3"/>
  <c r="BG136" i="3" s="1"/>
  <c r="BF138" i="3"/>
  <c r="BG138" i="3" s="1"/>
  <c r="BF141" i="3"/>
  <c r="BG141" i="3" s="1"/>
  <c r="BF144" i="3"/>
  <c r="BG144" i="3" s="1"/>
  <c r="BF147" i="3"/>
  <c r="BG147" i="3" s="1"/>
  <c r="BF150" i="3"/>
  <c r="BG150" i="3" s="1"/>
  <c r="BF158" i="3"/>
  <c r="BG158" i="3" s="1"/>
  <c r="BF160" i="3"/>
  <c r="BG160" i="3" s="1"/>
  <c r="BD13" i="2"/>
  <c r="BD20" i="2"/>
  <c r="BE85" i="3"/>
  <c r="BE103" i="3"/>
  <c r="BE128" i="3"/>
  <c r="BE140" i="3"/>
  <c r="BE189" i="3"/>
  <c r="BE196" i="3" s="1"/>
  <c r="BD34" i="4"/>
  <c r="BD26" i="2"/>
  <c r="BE20" i="2"/>
  <c r="BF6" i="3"/>
  <c r="BG6" i="3" s="1"/>
  <c r="BF27" i="3"/>
  <c r="BG27" i="3" s="1"/>
  <c r="BF29" i="3"/>
  <c r="BG29" i="3" s="1"/>
  <c r="BF31" i="3"/>
  <c r="BG31" i="3" s="1"/>
  <c r="BF38" i="3"/>
  <c r="BG38" i="3" s="1"/>
  <c r="BF53" i="3"/>
  <c r="BG53" i="3" s="1"/>
  <c r="BF24" i="5"/>
  <c r="BG24" i="5" s="1"/>
  <c r="BF35" i="5"/>
  <c r="BG35" i="5" s="1"/>
  <c r="BF37" i="5"/>
  <c r="BG37" i="5" s="1"/>
  <c r="BF5" i="2"/>
  <c r="BG5" i="2" s="1"/>
  <c r="BF11" i="2"/>
  <c r="BG11" i="2" s="1"/>
  <c r="BF21" i="2"/>
  <c r="BG21" i="2" s="1"/>
  <c r="BF25" i="2"/>
  <c r="BG25" i="2" s="1"/>
  <c r="BF20" i="3"/>
  <c r="BG20" i="3" s="1"/>
  <c r="BF43" i="3"/>
  <c r="BG43" i="3" s="1"/>
  <c r="BF9" i="4"/>
  <c r="BG9" i="4" s="1"/>
  <c r="BF22" i="4"/>
  <c r="BG22" i="4" s="1"/>
  <c r="BF6" i="2"/>
  <c r="BG6" i="2" s="1"/>
  <c r="BF15" i="2"/>
  <c r="BG15" i="2" s="1"/>
  <c r="BE146" i="3"/>
  <c r="BE92" i="3"/>
  <c r="BF12" i="2"/>
  <c r="BG12" i="2" s="1"/>
  <c r="BF22" i="2"/>
  <c r="BG22" i="2" s="1"/>
  <c r="BF116" i="3"/>
  <c r="BG116" i="3" s="1"/>
  <c r="BF179" i="3"/>
  <c r="BG179" i="3" s="1"/>
  <c r="BF132" i="3"/>
  <c r="BG132" i="3" s="1"/>
  <c r="BF99" i="3"/>
  <c r="BG99" i="3" s="1"/>
  <c r="BE76" i="3"/>
  <c r="BE107" i="3"/>
  <c r="BE142" i="3"/>
  <c r="BF142" i="3" s="1"/>
  <c r="BF57" i="3"/>
  <c r="BG57" i="3" s="1"/>
  <c r="BE161" i="3"/>
  <c r="BD172" i="3"/>
  <c r="BF163" i="3"/>
  <c r="BG163" i="3" s="1"/>
  <c r="BF77" i="3"/>
  <c r="BG77" i="3" s="1"/>
  <c r="BE22" i="3"/>
  <c r="BE36" i="3"/>
  <c r="BF26" i="3"/>
  <c r="BG26" i="3" s="1"/>
  <c r="BD20" i="5"/>
  <c r="V174" i="3" l="1"/>
  <c r="AK67" i="3"/>
  <c r="AK202" i="3" s="1"/>
  <c r="N174" i="3"/>
  <c r="X146" i="3"/>
  <c r="AK23" i="3"/>
  <c r="AK201" i="3" s="1"/>
  <c r="K50" i="5"/>
  <c r="P23" i="4"/>
  <c r="P41" i="4" s="1"/>
  <c r="AK24" i="4"/>
  <c r="AR24" i="4"/>
  <c r="AR23" i="3"/>
  <c r="F95" i="3"/>
  <c r="W174" i="3"/>
  <c r="V129" i="3"/>
  <c r="X172" i="3"/>
  <c r="X161" i="3"/>
  <c r="K27" i="2"/>
  <c r="F40" i="5"/>
  <c r="K153" i="3"/>
  <c r="K205" i="3" s="1"/>
  <c r="S197" i="3"/>
  <c r="S7" i="1" s="1"/>
  <c r="S11" i="1" s="1"/>
  <c r="F174" i="3"/>
  <c r="D197" i="3"/>
  <c r="BE67" i="3"/>
  <c r="P18" i="3"/>
  <c r="P22" i="3" s="1"/>
  <c r="T153" i="3"/>
  <c r="F129" i="3"/>
  <c r="AB23" i="3"/>
  <c r="AB201" i="3" s="1"/>
  <c r="AB208" i="3" s="1"/>
  <c r="AD153" i="3"/>
  <c r="AD205" i="3" s="1"/>
  <c r="O129" i="3"/>
  <c r="AR153" i="3"/>
  <c r="BD67" i="3"/>
  <c r="P140" i="3"/>
  <c r="AD129" i="3"/>
  <c r="AD204" i="3" s="1"/>
  <c r="T174" i="3"/>
  <c r="O95" i="3"/>
  <c r="W23" i="3"/>
  <c r="P161" i="3"/>
  <c r="X23" i="4"/>
  <c r="X41" i="4" s="1"/>
  <c r="P107" i="3"/>
  <c r="X34" i="4"/>
  <c r="X42" i="4" s="1"/>
  <c r="I197" i="3"/>
  <c r="K40" i="5"/>
  <c r="T27" i="2"/>
  <c r="T6" i="1" s="1"/>
  <c r="K23" i="3"/>
  <c r="K201" i="3" s="1"/>
  <c r="AR129" i="3"/>
  <c r="R197" i="3"/>
  <c r="R7" i="1" s="1"/>
  <c r="R11" i="1" s="1"/>
  <c r="AI197" i="3"/>
  <c r="AI7" i="1" s="1"/>
  <c r="W67" i="3"/>
  <c r="K67" i="3"/>
  <c r="K202" i="3" s="1"/>
  <c r="AR67" i="3"/>
  <c r="AR202" i="3" s="1"/>
  <c r="AR208" i="3" s="1"/>
  <c r="X92" i="3"/>
  <c r="X85" i="3"/>
  <c r="P172" i="3"/>
  <c r="X189" i="3"/>
  <c r="X196" i="3" s="1"/>
  <c r="X207" i="3" s="1"/>
  <c r="P146" i="3"/>
  <c r="V153" i="3"/>
  <c r="X76" i="3"/>
  <c r="X103" i="3"/>
  <c r="W129" i="3"/>
  <c r="T24" i="4"/>
  <c r="K129" i="3"/>
  <c r="K204" i="3" s="1"/>
  <c r="AD27" i="2"/>
  <c r="AD40" i="2" s="1"/>
  <c r="V95" i="3"/>
  <c r="F24" i="4"/>
  <c r="BG142" i="3"/>
  <c r="T95" i="3"/>
  <c r="V33" i="5"/>
  <c r="V40" i="5" s="1"/>
  <c r="V9" i="1" s="1"/>
  <c r="N40" i="5"/>
  <c r="J197" i="3"/>
  <c r="P115" i="3"/>
  <c r="P92" i="3"/>
  <c r="N23" i="3"/>
  <c r="AP197" i="3"/>
  <c r="AP7" i="1" s="1"/>
  <c r="P46" i="3"/>
  <c r="T129" i="3"/>
  <c r="P76" i="3"/>
  <c r="P16" i="4"/>
  <c r="P40" i="4" s="1"/>
  <c r="X16" i="4"/>
  <c r="X40" i="4" s="1"/>
  <c r="O24" i="4"/>
  <c r="O35" i="4" s="1"/>
  <c r="P10" i="4"/>
  <c r="P39" i="4" s="1"/>
  <c r="N24" i="4"/>
  <c r="N35" i="4" s="1"/>
  <c r="W24" i="4"/>
  <c r="W35" i="4" s="1"/>
  <c r="W8" i="1" s="1"/>
  <c r="P20" i="5"/>
  <c r="P46" i="5" s="1"/>
  <c r="BG21" i="5"/>
  <c r="P20" i="2"/>
  <c r="P38" i="2" s="1"/>
  <c r="X26" i="2"/>
  <c r="X39" i="2" s="1"/>
  <c r="BE24" i="4"/>
  <c r="BE35" i="4" s="1"/>
  <c r="BE8" i="1" s="1"/>
  <c r="BF16" i="4"/>
  <c r="BG16" i="4" s="1"/>
  <c r="X10" i="4"/>
  <c r="X39" i="4" s="1"/>
  <c r="V24" i="4"/>
  <c r="V35" i="4" s="1"/>
  <c r="V8" i="1" s="1"/>
  <c r="N95" i="3"/>
  <c r="V23" i="3"/>
  <c r="P189" i="3"/>
  <c r="P196" i="3" s="1"/>
  <c r="P207" i="3" s="1"/>
  <c r="P85" i="3"/>
  <c r="X36" i="3"/>
  <c r="AC208" i="3"/>
  <c r="AQ197" i="3"/>
  <c r="AQ7" i="1" s="1"/>
  <c r="AQ11" i="1" s="1"/>
  <c r="W153" i="3"/>
  <c r="W95" i="3"/>
  <c r="N67" i="3"/>
  <c r="AC197" i="3"/>
  <c r="AC7" i="1" s="1"/>
  <c r="AC11" i="1" s="1"/>
  <c r="AK153" i="3"/>
  <c r="F153" i="3"/>
  <c r="E197" i="3"/>
  <c r="AD23" i="3"/>
  <c r="AD201" i="3" s="1"/>
  <c r="T23" i="3"/>
  <c r="Z197" i="3"/>
  <c r="P56" i="3"/>
  <c r="X140" i="3"/>
  <c r="X153" i="3" s="1"/>
  <c r="X205" i="3" s="1"/>
  <c r="P66" i="3"/>
  <c r="P10" i="3"/>
  <c r="X66" i="3"/>
  <c r="X128" i="3"/>
  <c r="P153" i="3"/>
  <c r="P205" i="3" s="1"/>
  <c r="X115" i="3"/>
  <c r="O67" i="3"/>
  <c r="P128" i="3"/>
  <c r="X22" i="3"/>
  <c r="X23" i="3" s="1"/>
  <c r="X201" i="3" s="1"/>
  <c r="N129" i="3"/>
  <c r="P27" i="5"/>
  <c r="P47" i="5" s="1"/>
  <c r="X27" i="5"/>
  <c r="X47" i="5" s="1"/>
  <c r="X33" i="5"/>
  <c r="X48" i="5" s="1"/>
  <c r="V27" i="2"/>
  <c r="V6" i="1" s="1"/>
  <c r="P26" i="2"/>
  <c r="P39" i="2" s="1"/>
  <c r="X13" i="2"/>
  <c r="X37" i="2" s="1"/>
  <c r="X20" i="2"/>
  <c r="X38" i="2" s="1"/>
  <c r="P13" i="2"/>
  <c r="P37" i="2" s="1"/>
  <c r="N27" i="2"/>
  <c r="W27" i="2"/>
  <c r="W6" i="1" s="1"/>
  <c r="BF27" i="5"/>
  <c r="BF34" i="4"/>
  <c r="BG34" i="4" s="1"/>
  <c r="AD8" i="1"/>
  <c r="AR35" i="4"/>
  <c r="AR8" i="1" s="1"/>
  <c r="AP8" i="1"/>
  <c r="T35" i="4"/>
  <c r="T8" i="1" s="1"/>
  <c r="AJ8" i="1"/>
  <c r="AK35" i="4"/>
  <c r="AK8" i="1" s="1"/>
  <c r="X107" i="3"/>
  <c r="O40" i="5"/>
  <c r="AD40" i="5"/>
  <c r="P39" i="5"/>
  <c r="P49" i="5" s="1"/>
  <c r="O23" i="3"/>
  <c r="AD67" i="3"/>
  <c r="T67" i="3"/>
  <c r="P36" i="3"/>
  <c r="K40" i="2"/>
  <c r="AD50" i="5"/>
  <c r="X39" i="5"/>
  <c r="X49" i="5" s="1"/>
  <c r="T40" i="5"/>
  <c r="T9" i="1" s="1"/>
  <c r="AK27" i="2"/>
  <c r="AK6" i="1" s="1"/>
  <c r="AI6" i="1"/>
  <c r="AJ7" i="1"/>
  <c r="X56" i="3"/>
  <c r="N153" i="3"/>
  <c r="O27" i="2"/>
  <c r="K24" i="4"/>
  <c r="I35" i="4"/>
  <c r="K35" i="4" s="1"/>
  <c r="AD43" i="4"/>
  <c r="X46" i="3"/>
  <c r="BF115" i="3"/>
  <c r="BG115" i="3" s="1"/>
  <c r="P33" i="5"/>
  <c r="P48" i="5" s="1"/>
  <c r="X20" i="5"/>
  <c r="X46" i="5" s="1"/>
  <c r="AK40" i="5"/>
  <c r="AK9" i="1" s="1"/>
  <c r="W40" i="5"/>
  <c r="W9" i="1" s="1"/>
  <c r="AP40" i="5"/>
  <c r="AR27" i="5"/>
  <c r="AR47" i="5" s="1"/>
  <c r="AR50" i="5" s="1"/>
  <c r="BF39" i="5"/>
  <c r="BG39" i="5" s="1"/>
  <c r="BF149" i="3"/>
  <c r="BG149" i="3" s="1"/>
  <c r="BF128" i="3"/>
  <c r="BG128" i="3" s="1"/>
  <c r="BF140" i="3"/>
  <c r="BG140" i="3" s="1"/>
  <c r="BF33" i="5"/>
  <c r="BG33" i="5" s="1"/>
  <c r="BF56" i="3"/>
  <c r="BG56" i="3" s="1"/>
  <c r="BD24" i="4"/>
  <c r="BF26" i="2"/>
  <c r="BG26" i="2" s="1"/>
  <c r="BD153" i="3"/>
  <c r="BF107" i="3"/>
  <c r="BG107" i="3" s="1"/>
  <c r="BF92" i="3"/>
  <c r="BG92" i="3" s="1"/>
  <c r="BF103" i="3"/>
  <c r="BG103" i="3" s="1"/>
  <c r="BF23" i="4"/>
  <c r="BG23" i="4" s="1"/>
  <c r="BE23" i="3"/>
  <c r="BF46" i="3"/>
  <c r="BG46" i="3" s="1"/>
  <c r="BF13" i="2"/>
  <c r="BG13" i="2" s="1"/>
  <c r="BD23" i="3"/>
  <c r="BF146" i="3"/>
  <c r="BG146" i="3" s="1"/>
  <c r="BF10" i="4"/>
  <c r="BG10" i="4" s="1"/>
  <c r="BD129" i="3"/>
  <c r="BD95" i="3"/>
  <c r="BE27" i="2"/>
  <c r="BE6" i="1" s="1"/>
  <c r="BF85" i="3"/>
  <c r="BG85" i="3" s="1"/>
  <c r="BF66" i="3"/>
  <c r="BG66" i="3" s="1"/>
  <c r="BG7" i="2"/>
  <c r="BG18" i="2"/>
  <c r="BE40" i="5"/>
  <c r="BE9" i="1" s="1"/>
  <c r="BF189" i="3"/>
  <c r="BG189" i="3" s="1"/>
  <c r="BD27" i="2"/>
  <c r="BD6" i="1" s="1"/>
  <c r="BE129" i="3"/>
  <c r="BF22" i="3"/>
  <c r="BG22" i="3" s="1"/>
  <c r="BF20" i="2"/>
  <c r="BG20" i="2" s="1"/>
  <c r="BF10" i="3"/>
  <c r="BG10" i="3" s="1"/>
  <c r="BF20" i="5"/>
  <c r="BG20" i="5" s="1"/>
  <c r="BD40" i="5"/>
  <c r="AY11" i="1" s="1"/>
  <c r="BF172" i="3"/>
  <c r="BG172" i="3" s="1"/>
  <c r="BD174" i="3"/>
  <c r="BE153" i="3"/>
  <c r="BF36" i="3"/>
  <c r="BG36" i="3" s="1"/>
  <c r="BF161" i="3"/>
  <c r="BG161" i="3" s="1"/>
  <c r="BE174" i="3"/>
  <c r="BF196" i="3"/>
  <c r="BG196" i="3" s="1"/>
  <c r="BE95" i="3"/>
  <c r="BF76" i="3"/>
  <c r="BG76" i="3" s="1"/>
  <c r="AK208" i="3" l="1"/>
  <c r="X174" i="3"/>
  <c r="X206" i="3" s="1"/>
  <c r="P67" i="3"/>
  <c r="P202" i="3" s="1"/>
  <c r="AD6" i="1"/>
  <c r="P43" i="4"/>
  <c r="AD9" i="1"/>
  <c r="F197" i="3"/>
  <c r="AB197" i="3"/>
  <c r="AB7" i="1" s="1"/>
  <c r="AB11" i="1" s="1"/>
  <c r="P95" i="3"/>
  <c r="P203" i="3" s="1"/>
  <c r="X95" i="3"/>
  <c r="X203" i="3" s="1"/>
  <c r="P174" i="3"/>
  <c r="P206" i="3" s="1"/>
  <c r="P129" i="3"/>
  <c r="P204" i="3" s="1"/>
  <c r="AI11" i="1"/>
  <c r="AK197" i="3"/>
  <c r="AK7" i="1" s="1"/>
  <c r="AK11" i="1" s="1"/>
  <c r="W197" i="3"/>
  <c r="W7" i="1" s="1"/>
  <c r="W11" i="1" s="1"/>
  <c r="K197" i="3"/>
  <c r="K208" i="3"/>
  <c r="T197" i="3"/>
  <c r="T7" i="1" s="1"/>
  <c r="T11" i="1" s="1"/>
  <c r="V197" i="3"/>
  <c r="V7" i="1" s="1"/>
  <c r="V11" i="1" s="1"/>
  <c r="X67" i="3"/>
  <c r="X202" i="3" s="1"/>
  <c r="O197" i="3"/>
  <c r="P23" i="3"/>
  <c r="P201" i="3" s="1"/>
  <c r="X43" i="4"/>
  <c r="P24" i="4"/>
  <c r="P35" i="4" s="1"/>
  <c r="X24" i="4"/>
  <c r="X35" i="4" s="1"/>
  <c r="P50" i="5"/>
  <c r="BF24" i="4"/>
  <c r="BG24" i="4" s="1"/>
  <c r="AR197" i="3"/>
  <c r="AR7" i="1" s="1"/>
  <c r="N197" i="3"/>
  <c r="X129" i="3"/>
  <c r="X204" i="3" s="1"/>
  <c r="T42" i="5"/>
  <c r="P40" i="5"/>
  <c r="X50" i="5"/>
  <c r="X40" i="5"/>
  <c r="X9" i="1" s="1"/>
  <c r="BG27" i="5"/>
  <c r="P27" i="2"/>
  <c r="X27" i="2"/>
  <c r="X40" i="2" s="1"/>
  <c r="AJ11" i="1"/>
  <c r="AD202" i="3"/>
  <c r="AD208" i="3" s="1"/>
  <c r="AD197" i="3"/>
  <c r="BD35" i="4"/>
  <c r="AP9" i="1"/>
  <c r="AP11" i="1" s="1"/>
  <c r="AR40" i="5"/>
  <c r="AR9" i="1" s="1"/>
  <c r="BF95" i="3"/>
  <c r="BG95" i="3" s="1"/>
  <c r="BF153" i="3"/>
  <c r="BG153" i="3" s="1"/>
  <c r="BF27" i="2"/>
  <c r="BG27" i="2" s="1"/>
  <c r="BF67" i="3"/>
  <c r="BG67" i="3" s="1"/>
  <c r="BF129" i="3"/>
  <c r="BG129" i="3" s="1"/>
  <c r="BD197" i="3"/>
  <c r="BD7" i="1" s="1"/>
  <c r="BF23" i="3"/>
  <c r="BG23" i="3" s="1"/>
  <c r="BD9" i="1"/>
  <c r="BF40" i="5"/>
  <c r="BF174" i="3"/>
  <c r="BG174" i="3" s="1"/>
  <c r="BE197" i="3"/>
  <c r="A23" i="2"/>
  <c r="A11" i="2"/>
  <c r="A24" i="2"/>
  <c r="P208" i="3" l="1"/>
  <c r="P197" i="3"/>
  <c r="X208" i="3"/>
  <c r="X8" i="1"/>
  <c r="AR11" i="1"/>
  <c r="X197" i="3"/>
  <c r="X7" i="1" s="1"/>
  <c r="P40" i="2"/>
  <c r="X6" i="1"/>
  <c r="AD7" i="1"/>
  <c r="AD11" i="1" s="1"/>
  <c r="BD8" i="1"/>
  <c r="BF35" i="4"/>
  <c r="BG40" i="5"/>
  <c r="BF6" i="1"/>
  <c r="BG6" i="1" s="1"/>
  <c r="BF9" i="1"/>
  <c r="BG9" i="1" s="1"/>
  <c r="BF197" i="3"/>
  <c r="BG197" i="3" s="1"/>
  <c r="BE7" i="1"/>
  <c r="BE11" i="1" s="1"/>
  <c r="X11" i="1" l="1"/>
  <c r="BD11" i="1"/>
  <c r="BG35" i="4"/>
  <c r="BF8" i="1"/>
  <c r="BG8" i="1" s="1"/>
  <c r="BF7" i="1"/>
  <c r="BG7" i="1" s="1"/>
  <c r="BF11" i="1" l="1"/>
  <c r="BG12" i="1" s="1"/>
</calcChain>
</file>

<file path=xl/comments1.xml><?xml version="1.0" encoding="utf-8"?>
<comments xmlns="http://schemas.openxmlformats.org/spreadsheetml/2006/main">
  <authors>
    <author>test</author>
    <author>Marie-Hélène REY</author>
  </authors>
  <commentList>
    <comment ref="BE16" author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Subvention Ministere education ?</t>
        </r>
      </text>
    </comment>
    <comment ref="AD18" authorId="1">
      <text>
        <r>
          <rPr>
            <b/>
            <sz val="9"/>
            <color indexed="81"/>
            <rFont val="Tahoma"/>
            <family val="2"/>
          </rPr>
          <t>SSF : 8303
MJS : 46116</t>
        </r>
      </text>
    </comment>
    <comment ref="BE25" author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subv fonds d'urgence 
a déplacer ?</t>
        </r>
      </text>
    </comment>
  </commentList>
</comments>
</file>

<file path=xl/comments2.xml><?xml version="1.0" encoding="utf-8"?>
<comments xmlns="http://schemas.openxmlformats.org/spreadsheetml/2006/main">
  <authors>
    <author>José</author>
  </authors>
  <commentList>
    <comment ref="R24" authorId="0">
      <text>
        <r>
          <rPr>
            <b/>
            <sz val="9"/>
            <color indexed="81"/>
            <rFont val="Tahoma"/>
            <family val="2"/>
          </rPr>
          <t>José: SF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</rPr>
          <t>José: SF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Marie-Hélène REY</author>
  </authors>
  <commentList>
    <comment ref="P4" authorId="0">
      <text>
        <r>
          <rPr>
            <sz val="9"/>
            <color indexed="81"/>
            <rFont val="Tahoma"/>
            <family val="2"/>
          </rPr>
          <t>Taux d'exécution budgétaire</t>
        </r>
      </text>
    </comment>
  </commentList>
</comments>
</file>

<file path=xl/sharedStrings.xml><?xml version="1.0" encoding="utf-8"?>
<sst xmlns="http://schemas.openxmlformats.org/spreadsheetml/2006/main" count="1150" uniqueCount="628">
  <si>
    <t>Compte de résultat</t>
  </si>
  <si>
    <t>en k€</t>
  </si>
  <si>
    <t>2018a</t>
  </si>
  <si>
    <t>2019a</t>
  </si>
  <si>
    <t>Ressources</t>
  </si>
  <si>
    <t>Pôles &amp; actions</t>
  </si>
  <si>
    <t>Instances</t>
  </si>
  <si>
    <t>Fonctionnements</t>
  </si>
  <si>
    <t>dépense</t>
  </si>
  <si>
    <t>recette</t>
  </si>
  <si>
    <t>2017a</t>
  </si>
  <si>
    <t>2020b</t>
  </si>
  <si>
    <t>2020a</t>
  </si>
  <si>
    <t>Commentaires</t>
  </si>
  <si>
    <t>Cotisations</t>
  </si>
  <si>
    <t>Part assurance</t>
  </si>
  <si>
    <t>RC prestataire - assurance</t>
  </si>
  <si>
    <t>RC prestataire - produit</t>
  </si>
  <si>
    <t>Licences temporaires</t>
  </si>
  <si>
    <t>Reversement région</t>
  </si>
  <si>
    <t>Actions régions décentralisées</t>
  </si>
  <si>
    <t>Honoraires courtier</t>
  </si>
  <si>
    <t>Cotisations et autres</t>
  </si>
  <si>
    <t>Ministère Jeunesse et Sport</t>
  </si>
  <si>
    <t>Ministère intérieur</t>
  </si>
  <si>
    <t>Ministère Ecologie et Dev. Durable</t>
  </si>
  <si>
    <t>Ministère des affaires étrangères</t>
  </si>
  <si>
    <t>Agence Nationale du Sport</t>
  </si>
  <si>
    <t>Subventions</t>
  </si>
  <si>
    <t>Partenariat extérieur</t>
  </si>
  <si>
    <t>Produits financiers</t>
  </si>
  <si>
    <t>Abandons de frais, dons</t>
  </si>
  <si>
    <t>Reprise sur fonds propres</t>
  </si>
  <si>
    <t>Divers</t>
  </si>
  <si>
    <t>Autres recettes diverses</t>
  </si>
  <si>
    <t>Total ressources</t>
  </si>
  <si>
    <t>Total</t>
  </si>
  <si>
    <t>Actions</t>
  </si>
  <si>
    <t>2MEDACT</t>
  </si>
  <si>
    <t xml:space="preserve">Fonctionnement </t>
  </si>
  <si>
    <t>2MEDFCT</t>
  </si>
  <si>
    <t>Matériel</t>
  </si>
  <si>
    <t>2MEDMAT</t>
  </si>
  <si>
    <t>Conseil technique</t>
  </si>
  <si>
    <t>2MEDCT</t>
  </si>
  <si>
    <t>Amortissement</t>
  </si>
  <si>
    <t>Médicale</t>
  </si>
  <si>
    <t>Action</t>
  </si>
  <si>
    <t>2SSFACT</t>
  </si>
  <si>
    <t>Formation</t>
  </si>
  <si>
    <t>2SSFAFO</t>
  </si>
  <si>
    <t>2SSFFCT</t>
  </si>
  <si>
    <t>2SSFCT</t>
  </si>
  <si>
    <t>2SSFMAT</t>
  </si>
  <si>
    <t>Vente marchandises</t>
  </si>
  <si>
    <t>2SSFVTE</t>
  </si>
  <si>
    <t>SSF Service aux fédérés</t>
  </si>
  <si>
    <t>Variation de stock</t>
  </si>
  <si>
    <t>2SSFVDS</t>
  </si>
  <si>
    <t>Dons SSF</t>
  </si>
  <si>
    <t>2SSFDONS</t>
  </si>
  <si>
    <t>2SSFAMO</t>
  </si>
  <si>
    <t>SSF</t>
  </si>
  <si>
    <t>Santé secours</t>
  </si>
  <si>
    <t>résultat</t>
  </si>
  <si>
    <t>2EFSACT</t>
  </si>
  <si>
    <t>Formations</t>
  </si>
  <si>
    <t>2EFSAFO</t>
  </si>
  <si>
    <t>Formations cadre</t>
  </si>
  <si>
    <t>2EFSFC</t>
  </si>
  <si>
    <t>2EFSFCT</t>
  </si>
  <si>
    <t>2EFSCT</t>
  </si>
  <si>
    <t>2EFSMAT</t>
  </si>
  <si>
    <t>Publication</t>
  </si>
  <si>
    <t>2EFSPUB</t>
  </si>
  <si>
    <t>Vente marchandise</t>
  </si>
  <si>
    <t>2EFSVTE</t>
  </si>
  <si>
    <t>Variations de stock</t>
  </si>
  <si>
    <t>2EFSVDS</t>
  </si>
  <si>
    <t>2EFSAMO</t>
  </si>
  <si>
    <t>EFS</t>
  </si>
  <si>
    <t>2EFPSACT</t>
  </si>
  <si>
    <t>2EFPSAFO</t>
  </si>
  <si>
    <t>2EFPSFCT</t>
  </si>
  <si>
    <t>2EFPSCT</t>
  </si>
  <si>
    <t>2EFPSPUB</t>
  </si>
  <si>
    <t>2EFPSMAT</t>
  </si>
  <si>
    <t>2EFPSVTE</t>
  </si>
  <si>
    <t>2EFPSVDS</t>
  </si>
  <si>
    <t>2EFPSAMO</t>
  </si>
  <si>
    <t>EFPS</t>
  </si>
  <si>
    <t>2EFCACT</t>
  </si>
  <si>
    <t>2EFCAFO</t>
  </si>
  <si>
    <t>2EFCFCT</t>
  </si>
  <si>
    <t>2EFCCT</t>
  </si>
  <si>
    <t>2EFCPUB</t>
  </si>
  <si>
    <t>2EFCMAT</t>
  </si>
  <si>
    <t>2EFCVTE</t>
  </si>
  <si>
    <t>2EFCVDS</t>
  </si>
  <si>
    <t>2EFCAMO</t>
  </si>
  <si>
    <t>EFC</t>
  </si>
  <si>
    <t xml:space="preserve">Journées d'Etudes </t>
  </si>
  <si>
    <t>3JEE</t>
  </si>
  <si>
    <t>Groupe étude technique</t>
  </si>
  <si>
    <t>3GET</t>
  </si>
  <si>
    <t>Etudes risques</t>
  </si>
  <si>
    <t>3ETR</t>
  </si>
  <si>
    <t>Fonctionnement pôle</t>
  </si>
  <si>
    <t>JNSC</t>
  </si>
  <si>
    <t>3JNSC</t>
  </si>
  <si>
    <t>Autres</t>
  </si>
  <si>
    <t>Enseignement</t>
  </si>
  <si>
    <t>2ENVACT</t>
  </si>
  <si>
    <t>2ENVFCT</t>
  </si>
  <si>
    <t>2ENVCT</t>
  </si>
  <si>
    <t xml:space="preserve">Publication </t>
  </si>
  <si>
    <t>2ENVPUB</t>
  </si>
  <si>
    <t>2ENVMAT</t>
  </si>
  <si>
    <t>2ENVAMO</t>
  </si>
  <si>
    <t>Environnement</t>
  </si>
  <si>
    <t>2SCIACT</t>
  </si>
  <si>
    <t>2SCIAFO</t>
  </si>
  <si>
    <t>2SCIFCT</t>
  </si>
  <si>
    <t>2SCICT</t>
  </si>
  <si>
    <t>2SCIPUB</t>
  </si>
  <si>
    <t>2SCIMAT</t>
  </si>
  <si>
    <t>amortissement</t>
  </si>
  <si>
    <t>2SCIAMO</t>
  </si>
  <si>
    <t>Scientifique</t>
  </si>
  <si>
    <t>2DOCACT</t>
  </si>
  <si>
    <t>Documentation</t>
  </si>
  <si>
    <t>2DOCDOC</t>
  </si>
  <si>
    <t>2DOCFCT</t>
  </si>
  <si>
    <t>2DOCCT</t>
  </si>
  <si>
    <t>2DOCAMO</t>
  </si>
  <si>
    <t>Patrimoine science et env.</t>
  </si>
  <si>
    <t>2PUBACT</t>
  </si>
  <si>
    <t>Fonctionnement</t>
  </si>
  <si>
    <t>2PUBFCT</t>
  </si>
  <si>
    <t>Karstologia</t>
  </si>
  <si>
    <t>2PUBKAR</t>
  </si>
  <si>
    <t>Spélunca</t>
  </si>
  <si>
    <t>2PUBSPE</t>
  </si>
  <si>
    <t>2PUBVDS</t>
  </si>
  <si>
    <t>2AUDACT</t>
  </si>
  <si>
    <t>2AUDCT</t>
  </si>
  <si>
    <t>2AUDFCT</t>
  </si>
  <si>
    <t>Audiovisuelle</t>
  </si>
  <si>
    <t>2COMACT</t>
  </si>
  <si>
    <t>2COMFCT</t>
  </si>
  <si>
    <t>conseil technique</t>
  </si>
  <si>
    <t>2COMCT</t>
  </si>
  <si>
    <t>2COMVTE</t>
  </si>
  <si>
    <t>2COMVDS</t>
  </si>
  <si>
    <t>matériel</t>
  </si>
  <si>
    <t>2COMMAT</t>
  </si>
  <si>
    <t>2COMAMO</t>
  </si>
  <si>
    <t>Communication</t>
  </si>
  <si>
    <t>2CREIACT</t>
  </si>
  <si>
    <t>2CREICT</t>
  </si>
  <si>
    <t>2CREIFCT</t>
  </si>
  <si>
    <t>DPE</t>
  </si>
  <si>
    <t>2CREIDPE</t>
  </si>
  <si>
    <t>Expédition</t>
  </si>
  <si>
    <t>2CREIEXP</t>
  </si>
  <si>
    <t>Relations internationales</t>
  </si>
  <si>
    <t>2CREIRI</t>
  </si>
  <si>
    <t>Publication expé</t>
  </si>
  <si>
    <t>2CREIPUB</t>
  </si>
  <si>
    <t>Expe nat</t>
  </si>
  <si>
    <t>2CREIEXPNAT</t>
  </si>
  <si>
    <t>2CREIAMO</t>
  </si>
  <si>
    <t>F.S.E.</t>
  </si>
  <si>
    <t>3FSE</t>
  </si>
  <si>
    <t>F.I.C.</t>
  </si>
  <si>
    <t>U.I.S.</t>
  </si>
  <si>
    <t>3UIS</t>
  </si>
  <si>
    <t>CREI</t>
  </si>
  <si>
    <t>Communication &amp; Publication</t>
  </si>
  <si>
    <t>2LIBACT</t>
  </si>
  <si>
    <t>2LIBFCT</t>
  </si>
  <si>
    <t>2LIBCT</t>
  </si>
  <si>
    <t>Vente congrès</t>
  </si>
  <si>
    <t>2LIBVTC</t>
  </si>
  <si>
    <t>Ventes</t>
  </si>
  <si>
    <t>2LIBVTE</t>
  </si>
  <si>
    <t>2LIBVDS</t>
  </si>
  <si>
    <t>Achat</t>
  </si>
  <si>
    <t>2LIBHA</t>
  </si>
  <si>
    <t>2LIBAMO</t>
  </si>
  <si>
    <t>Librairie</t>
  </si>
  <si>
    <t>2ASSFCT</t>
  </si>
  <si>
    <t>Assurance</t>
  </si>
  <si>
    <t>2FINACT</t>
  </si>
  <si>
    <t>2FIN</t>
  </si>
  <si>
    <t>2FINCT</t>
  </si>
  <si>
    <t>2STFFCT</t>
  </si>
  <si>
    <t>2STAFCT</t>
  </si>
  <si>
    <t>Conseil de discipline</t>
  </si>
  <si>
    <t>4CDIS</t>
  </si>
  <si>
    <t>Hammel - De Joly</t>
  </si>
  <si>
    <t>4HAM</t>
  </si>
  <si>
    <t>FAAL</t>
  </si>
  <si>
    <t>4FAAL</t>
  </si>
  <si>
    <t>Vie associative</t>
  </si>
  <si>
    <t>Parcours jeune (EDSC)</t>
  </si>
  <si>
    <t>4EDSC</t>
  </si>
  <si>
    <t>4JEU</t>
  </si>
  <si>
    <t>Label jeune</t>
  </si>
  <si>
    <t>4LJ</t>
  </si>
  <si>
    <t>Label scolaire</t>
  </si>
  <si>
    <t>4LS</t>
  </si>
  <si>
    <t>EDSC</t>
  </si>
  <si>
    <t>4JEUFCT</t>
  </si>
  <si>
    <t>4JEUAFO</t>
  </si>
  <si>
    <t>Actions internationales</t>
  </si>
  <si>
    <t>4JEUINT</t>
  </si>
  <si>
    <t>4JEUCT</t>
  </si>
  <si>
    <t>4JEUVTE</t>
  </si>
  <si>
    <t>4JEUCAMPSPEL</t>
  </si>
  <si>
    <t>WE COJ</t>
  </si>
  <si>
    <t>4JEUWE</t>
  </si>
  <si>
    <t>4JEUMAT</t>
  </si>
  <si>
    <t>variation de stock</t>
  </si>
  <si>
    <t>4JEUVDS</t>
  </si>
  <si>
    <t>4JEUAMO</t>
  </si>
  <si>
    <t>Jeunes</t>
  </si>
  <si>
    <t xml:space="preserve">Label FFS </t>
  </si>
  <si>
    <t>4LAB</t>
  </si>
  <si>
    <t>Développement</t>
  </si>
  <si>
    <t>AGENDA 21</t>
  </si>
  <si>
    <t>4A21</t>
  </si>
  <si>
    <t>BRGM</t>
  </si>
  <si>
    <t>4BRGM</t>
  </si>
  <si>
    <t>Plan de féminisation</t>
  </si>
  <si>
    <t>4FEM</t>
  </si>
  <si>
    <t xml:space="preserve">Prévention des risques </t>
  </si>
  <si>
    <t>GT modèles économiques</t>
  </si>
  <si>
    <t>Mallette pédagogique</t>
  </si>
  <si>
    <t>Honorabilité</t>
  </si>
  <si>
    <t>3HON</t>
  </si>
  <si>
    <t>Camp Berger</t>
  </si>
  <si>
    <t>3BER</t>
  </si>
  <si>
    <t>Médailles 3 écoles</t>
  </si>
  <si>
    <t>4MED</t>
  </si>
  <si>
    <t>SAS Méaudre</t>
  </si>
  <si>
    <t>4SAS</t>
  </si>
  <si>
    <t>Action diverses</t>
  </si>
  <si>
    <t>4ACD</t>
  </si>
  <si>
    <t>Projet numérique</t>
  </si>
  <si>
    <t>3PN</t>
  </si>
  <si>
    <t>Congrès Karstologie</t>
  </si>
  <si>
    <t>3CK</t>
  </si>
  <si>
    <t>Congrès désobstruction</t>
  </si>
  <si>
    <t>3CD</t>
  </si>
  <si>
    <t>UIS 2021</t>
  </si>
  <si>
    <t>3UIS21</t>
  </si>
  <si>
    <t>Assises Karstiques</t>
  </si>
  <si>
    <t>4KAR</t>
  </si>
  <si>
    <t>Total autres</t>
  </si>
  <si>
    <t>total</t>
  </si>
  <si>
    <t>Commentaire</t>
  </si>
  <si>
    <t>Bureau #1</t>
  </si>
  <si>
    <t>Bureau #2</t>
  </si>
  <si>
    <t>Bureau #3</t>
  </si>
  <si>
    <t>à voir pour annuler</t>
  </si>
  <si>
    <t>Bureau #4</t>
  </si>
  <si>
    <t>Frais membres Bureau</t>
  </si>
  <si>
    <t>Bureau</t>
  </si>
  <si>
    <t>Une réunion 1k€ + 5k€ de frais (déplacement Ministère, audit, ..Etc)</t>
  </si>
  <si>
    <t>CA #1</t>
  </si>
  <si>
    <t>CA #2</t>
  </si>
  <si>
    <t>CA #3</t>
  </si>
  <si>
    <t>CA #4</t>
  </si>
  <si>
    <t>Frais membres CA</t>
  </si>
  <si>
    <t>Conseil d'Administration</t>
  </si>
  <si>
    <t>Une réunion 4k€ + 4k€ autre frais</t>
  </si>
  <si>
    <t>AG</t>
  </si>
  <si>
    <t>Edition Descendeur</t>
  </si>
  <si>
    <t>Grands Electeurs</t>
  </si>
  <si>
    <t>Réunion Grandes Régions</t>
  </si>
  <si>
    <t>Réunion Présidents Régions</t>
  </si>
  <si>
    <t>A dématérialiser ?</t>
  </si>
  <si>
    <t>Autres missions</t>
  </si>
  <si>
    <t>AG et autres réunions</t>
  </si>
  <si>
    <t>Instance FFS</t>
  </si>
  <si>
    <t>DTN</t>
  </si>
  <si>
    <t>Actualisation début Septembre</t>
  </si>
  <si>
    <t>Mamagement equipe CTN</t>
  </si>
  <si>
    <t>Accompagnement CSR</t>
  </si>
  <si>
    <t>JE Direction Technique</t>
  </si>
  <si>
    <t>CO</t>
  </si>
  <si>
    <t>Direction technique</t>
  </si>
  <si>
    <t>Total - Instances</t>
  </si>
  <si>
    <t>En k€</t>
  </si>
  <si>
    <t>Charge des co-propriété</t>
  </si>
  <si>
    <t>Assurances</t>
  </si>
  <si>
    <t>Fluide / électricité</t>
  </si>
  <si>
    <t>Travaux / aménagement</t>
  </si>
  <si>
    <t>Maintenance logiciel</t>
  </si>
  <si>
    <t>Taxe foncière</t>
  </si>
  <si>
    <t>Tél / Internet / Timbres</t>
  </si>
  <si>
    <t>Frais bancaire</t>
  </si>
  <si>
    <t>Fournitures</t>
  </si>
  <si>
    <t>Photocopies</t>
  </si>
  <si>
    <t>Déplacements</t>
  </si>
  <si>
    <t>Charges de fonctionnement</t>
  </si>
  <si>
    <t>Salaire et frais de personnel</t>
  </si>
  <si>
    <t>Provision CP</t>
  </si>
  <si>
    <t>Formation du personnel</t>
  </si>
  <si>
    <t>Management</t>
  </si>
  <si>
    <t>Litige</t>
  </si>
  <si>
    <t>Service Civique</t>
  </si>
  <si>
    <t>Commissaire aux comptes</t>
  </si>
  <si>
    <t>Expert comptable</t>
  </si>
  <si>
    <t>Avocat</t>
  </si>
  <si>
    <t>Consultant juridique</t>
  </si>
  <si>
    <t>Honoraires</t>
  </si>
  <si>
    <t>logiciel gestion adhérents</t>
  </si>
  <si>
    <t>Site internet + abonnements</t>
  </si>
  <si>
    <t>Amortissements</t>
  </si>
  <si>
    <t>Amortissement subvention achat</t>
  </si>
  <si>
    <t>Total - fonctionnement</t>
  </si>
  <si>
    <t>CPO</t>
  </si>
  <si>
    <t>110</t>
  </si>
  <si>
    <t>111</t>
  </si>
  <si>
    <t>112</t>
  </si>
  <si>
    <t>114</t>
  </si>
  <si>
    <t>120</t>
  </si>
  <si>
    <t>130</t>
  </si>
  <si>
    <t>131</t>
  </si>
  <si>
    <t>141</t>
  </si>
  <si>
    <t>142</t>
  </si>
  <si>
    <t>506</t>
  </si>
  <si>
    <t>514</t>
  </si>
  <si>
    <t>515</t>
  </si>
  <si>
    <t>516</t>
  </si>
  <si>
    <t>526</t>
  </si>
  <si>
    <t>527</t>
  </si>
  <si>
    <t>530</t>
  </si>
  <si>
    <t>539</t>
  </si>
  <si>
    <t>540</t>
  </si>
  <si>
    <t>541</t>
  </si>
  <si>
    <t>542</t>
  </si>
  <si>
    <t>544</t>
  </si>
  <si>
    <t>550</t>
  </si>
  <si>
    <t>551</t>
  </si>
  <si>
    <t>552</t>
  </si>
  <si>
    <t>560</t>
  </si>
  <si>
    <t>561</t>
  </si>
  <si>
    <t>570</t>
  </si>
  <si>
    <t>606</t>
  </si>
  <si>
    <t>607</t>
  </si>
  <si>
    <t>610</t>
  </si>
  <si>
    <t>611</t>
  </si>
  <si>
    <t>612</t>
  </si>
  <si>
    <t>614</t>
  </si>
  <si>
    <t>620</t>
  </si>
  <si>
    <t>621</t>
  </si>
  <si>
    <t>622</t>
  </si>
  <si>
    <t>623</t>
  </si>
  <si>
    <t>624</t>
  </si>
  <si>
    <t>630</t>
  </si>
  <si>
    <t>631</t>
  </si>
  <si>
    <t>632</t>
  </si>
  <si>
    <t>640</t>
  </si>
  <si>
    <t>641</t>
  </si>
  <si>
    <t>642</t>
  </si>
  <si>
    <t>650</t>
  </si>
  <si>
    <t>655</t>
  </si>
  <si>
    <t>CTN</t>
  </si>
  <si>
    <t>656</t>
  </si>
  <si>
    <t>657</t>
  </si>
  <si>
    <t>660</t>
  </si>
  <si>
    <t>668</t>
  </si>
  <si>
    <t>700</t>
  </si>
  <si>
    <t>710</t>
  </si>
  <si>
    <t>510</t>
  </si>
  <si>
    <t>531</t>
  </si>
  <si>
    <t>658</t>
  </si>
  <si>
    <t>661</t>
  </si>
  <si>
    <t>Réalisé 2020</t>
  </si>
  <si>
    <t>140</t>
  </si>
  <si>
    <t>525</t>
  </si>
  <si>
    <t>Budget 2020</t>
  </si>
  <si>
    <t>Budget 2021</t>
  </si>
  <si>
    <t>réalisé 2020</t>
  </si>
  <si>
    <t>bugdet 2020</t>
  </si>
  <si>
    <t>budget 2021</t>
  </si>
  <si>
    <t>2ssfsaf</t>
  </si>
  <si>
    <t>134</t>
  </si>
  <si>
    <t>Part CO</t>
  </si>
  <si>
    <t>Dont part CPO</t>
  </si>
  <si>
    <t>Dt CPO</t>
  </si>
  <si>
    <t>moins 1KE (report congrès)</t>
  </si>
  <si>
    <t>Stage équipier international annulé</t>
  </si>
  <si>
    <t>moins 0,4 sur réunion DN et 3 KE CT Congrès UIS annulé</t>
  </si>
  <si>
    <t xml:space="preserve">moins 0,4 </t>
  </si>
  <si>
    <t>moins 1KE (congrès)</t>
  </si>
  <si>
    <t>Transport des documents à la BNF</t>
  </si>
  <si>
    <t>1,6 Fonct. + 0,2 (communication et base de données)</t>
  </si>
  <si>
    <t>rattacher RC prestataire au Pôle patrimoine</t>
  </si>
  <si>
    <r>
      <t>Spélimages (500 entrées à 5</t>
    </r>
    <r>
      <rPr>
        <sz val="11"/>
        <color theme="1"/>
        <rFont val="Calibri"/>
        <family val="2"/>
      </rPr>
      <t>€</t>
    </r>
    <r>
      <rPr>
        <sz val="11.35"/>
        <color theme="1"/>
        <rFont val="Calibri"/>
        <family val="2"/>
      </rPr>
      <t>, rechercher partenaires habituels CDS et privés)</t>
    </r>
  </si>
  <si>
    <t>report achat barnum (0,5ke)</t>
  </si>
  <si>
    <t xml:space="preserve">à rattacher au pôle environnement </t>
  </si>
  <si>
    <t>AG en présentiel</t>
  </si>
  <si>
    <t>si AG en présentiel</t>
  </si>
  <si>
    <t>réunion en visio</t>
  </si>
  <si>
    <t>inclut provision prime macron</t>
  </si>
  <si>
    <t>17 Ke demandés ministère de l'intérieur en 2021</t>
  </si>
  <si>
    <t>31 ke (10% région et 10 ke PSF)</t>
  </si>
  <si>
    <t>géré par pôle environnement</t>
  </si>
  <si>
    <t>je ne sais pas où déduire la reprise de provision de 3,514Ke</t>
  </si>
  <si>
    <t>fonds dédiés CPO ajustés avec réalisé 2020</t>
  </si>
  <si>
    <t>#Dév</t>
  </si>
  <si>
    <t>#Exp</t>
  </si>
  <si>
    <t>#For</t>
  </si>
  <si>
    <t>#Prév</t>
  </si>
  <si>
    <t>#Inter</t>
  </si>
  <si>
    <t>#For #Prév</t>
  </si>
  <si>
    <t>AAP 2019</t>
  </si>
  <si>
    <t>AAP 2018</t>
  </si>
  <si>
    <t>CPO Sports</t>
  </si>
  <si>
    <t>Statistiques et finances</t>
  </si>
  <si>
    <t>Statuts</t>
  </si>
  <si>
    <t>CNOSF + UICN + COSMOS</t>
  </si>
  <si>
    <t>#exp</t>
  </si>
  <si>
    <t xml:space="preserve">Fonds dédiés </t>
  </si>
  <si>
    <t>135</t>
  </si>
  <si>
    <t>dont Part CPO 2020/2021</t>
  </si>
  <si>
    <t>2020/2021</t>
  </si>
  <si>
    <t>Synthèse</t>
  </si>
  <si>
    <t>ressources</t>
  </si>
  <si>
    <t>pôles &amp; actions</t>
  </si>
  <si>
    <t>instances</t>
  </si>
  <si>
    <t>fonctionnement</t>
  </si>
  <si>
    <t>budget 2020</t>
  </si>
  <si>
    <t>1 CA à 3ke et 4ke de frais à voir pour baisser les frais</t>
  </si>
  <si>
    <t>1 bureau à 1ke et 3 ke de frais à voir pour baisser les frais</t>
  </si>
  <si>
    <t>réalisé 2021</t>
  </si>
  <si>
    <t>Comentaires</t>
  </si>
  <si>
    <t>Budget 2022</t>
  </si>
  <si>
    <t>Écart</t>
  </si>
  <si>
    <t>budget 2022</t>
  </si>
  <si>
    <t>écart arithmétique</t>
  </si>
  <si>
    <t>écart</t>
  </si>
  <si>
    <t>113</t>
  </si>
  <si>
    <t>115</t>
  </si>
  <si>
    <t>Fonctionnement Pôle</t>
  </si>
  <si>
    <t>3FIC</t>
  </si>
  <si>
    <t>Base 7000 licenciés au 31 août 2022. Au 28 février : 560 licenciés de plus qu'en 2021 (+57/2019)</t>
  </si>
  <si>
    <t>La part assurance est proportionnelle aux prises de licences</t>
  </si>
  <si>
    <r>
      <t>0,6k</t>
    </r>
    <r>
      <rPr>
        <sz val="11"/>
        <rFont val="Calibri"/>
        <family val="2"/>
      </rPr>
      <t>€ comptabilisés en 2021 (1428,35 en Novembre selon Marie-Clélia)</t>
    </r>
  </si>
  <si>
    <t>reversements régions 10%</t>
  </si>
  <si>
    <t xml:space="preserve">reprise des initiations </t>
  </si>
  <si>
    <t>Hypothèse de reconduction de la subvention à l'identique</t>
  </si>
  <si>
    <r>
      <t>13k</t>
    </r>
    <r>
      <rPr>
        <sz val="11"/>
        <rFont val="Calibri"/>
        <family val="2"/>
      </rPr>
      <t>€ obtenus en 2021 Maintien d'une demande de 15k€ minimale</t>
    </r>
  </si>
  <si>
    <t>nouveaux partenariats ?</t>
  </si>
  <si>
    <r>
      <t>1K</t>
    </r>
    <r>
      <rPr>
        <sz val="11"/>
        <rFont val="Calibri"/>
        <family val="2"/>
      </rPr>
      <t>€</t>
    </r>
    <r>
      <rPr>
        <sz val="11"/>
        <rFont val="Calibri"/>
        <family val="2"/>
        <scheme val="minor"/>
      </rPr>
      <t>+6k</t>
    </r>
    <r>
      <rPr>
        <sz val="11"/>
        <rFont val="Calibri"/>
        <family val="2"/>
      </rPr>
      <t>€ si vente produit CNP</t>
    </r>
  </si>
  <si>
    <t>Cotisation UNMF et frais postaux</t>
  </si>
  <si>
    <t>2MEDPUB</t>
  </si>
  <si>
    <t>Congrès UIS. Symposium médical.</t>
  </si>
  <si>
    <t>Conseil technique en Novembre 12 personnes. Niveau abandon de frais incertain</t>
  </si>
  <si>
    <t>6 stages initiateurs (0,4 par stage), M0,M1, M2, M3. Stage JFC</t>
  </si>
  <si>
    <r>
      <t>aides formation initiateurs (18 candidats; 100</t>
    </r>
    <r>
      <rPr>
        <sz val="11"/>
        <rFont val="Calibri"/>
        <family val="2"/>
      </rPr>
      <t>€</t>
    </r>
    <r>
      <rPr>
        <sz val="11"/>
        <rFont val="Calibri"/>
        <family val="2"/>
        <scheme val="minor"/>
      </rPr>
      <t>) et moniteurs (4*250</t>
    </r>
    <r>
      <rPr>
        <sz val="11"/>
        <rFont val="Calibri"/>
        <family val="2"/>
      </rPr>
      <t>€)</t>
    </r>
  </si>
  <si>
    <t>fournitures, frais postaux, missions présidence</t>
  </si>
  <si>
    <t>publication info EFS ( version dématérialisée ?)</t>
  </si>
  <si>
    <r>
      <t>Projet de fabrication et vente de doudoune reporté ? (1,5</t>
    </r>
    <r>
      <rPr>
        <sz val="11"/>
        <rFont val="Calibri"/>
        <family val="2"/>
      </rPr>
      <t>€)</t>
    </r>
  </si>
  <si>
    <t>Sécurisation de site (1ke), Féminisation de la pratique (0,5ke) Congrès UIS (2ke) Aide aux régions (1ke)</t>
  </si>
  <si>
    <t>Formation gendarmerie (+3,8ke), stages nationaux (2ke) formation 10 cadres (3ke)</t>
  </si>
  <si>
    <t>réunion DN</t>
  </si>
  <si>
    <t>Fournitures (0,2ke), réunion CIPS (1ke), Salon de la plongée (0,5ke)</t>
  </si>
  <si>
    <t>Manuel technique 500 exemplaires  Vente PUB 2,8ke; info plongée</t>
  </si>
  <si>
    <t>révision de 12 détendeurs (1,5ke) révision gros compresseur pour vente (1ke) estimé à 8ke</t>
  </si>
  <si>
    <r>
      <t>manuel technique : prix de vente 28</t>
    </r>
    <r>
      <rPr>
        <sz val="11"/>
        <rFont val="Calibri"/>
        <family val="2"/>
      </rPr>
      <t>€ 250 exemplaires</t>
    </r>
    <r>
      <rPr>
        <sz val="11"/>
        <rFont val="Calibri"/>
        <family val="2"/>
        <scheme val="minor"/>
      </rPr>
      <t xml:space="preserve"> ; info-plongée (+0,75ke)</t>
    </r>
  </si>
  <si>
    <t>3 petits compresseurs à 4ke amortis sur 5 ans</t>
  </si>
  <si>
    <t>?</t>
  </si>
  <si>
    <t>R&amp;D : Gaz et explosif(0,6ke), ASV médical (1ke), plongée (1ke), électronique (0,4ke), évacuation (1ke), ventilation (1ke), lettre info (0,2ke)</t>
  </si>
  <si>
    <t>CPO Sports ou DGSC</t>
  </si>
  <si>
    <t>ASV, Equipier chef d'équipe, idem International (3,04ke), transmission, CT (stages à l'équilibre)</t>
  </si>
  <si>
    <t>Fournitures (1,5ke), assurances (1,5ke), missions du CT (4,5ke), opérationnel Nat.(3ke)</t>
  </si>
  <si>
    <t>2 réunions CT (Mars et Septembre 8ke), autres réunions (1ke), Congrès UIS (3ke sous réserves conditions inscription)</t>
  </si>
  <si>
    <t>production ou achat et ventes : vêtements, manuels secours (28ke), matériels techniques…</t>
  </si>
  <si>
    <r>
      <t>manuels : vente de 500ex  à 22</t>
    </r>
    <r>
      <rPr>
        <sz val="11"/>
        <rFont val="Calibri"/>
        <family val="2"/>
      </rPr>
      <t>€ la 1ère année (valorisation au prix d'achat du stock de 1000 ex)</t>
    </r>
  </si>
  <si>
    <t>cf état des amortissements sur 10 ans. Un PC portable en plus ?</t>
  </si>
  <si>
    <t>voir ce qui est couvert par la SUBV. Dde DGSC 15ke. Utilisation du Fonds "Didelot"( amélioration de la réponse opérationnelle du SSF) pour diminuer la dde FFS</t>
  </si>
  <si>
    <r>
      <t>septembre 2022 rassemblement national (50</t>
    </r>
    <r>
      <rPr>
        <sz val="11"/>
        <rFont val="Calibri"/>
        <family val="2"/>
      </rPr>
      <t>€ par personne) dde participation 1ke</t>
    </r>
  </si>
  <si>
    <t>4 initiateurs, 2 formation, 2 moniteurs formule groupée, 1 moniteur formule courte, stage environnent. Formations cadre (aide moniteur, JFC)</t>
  </si>
  <si>
    <t xml:space="preserve">fournitures, réunions </t>
  </si>
  <si>
    <t>séminaire DN 3 jours pour 10 personnes (2,5ke). Congrès UIS (1ke)</t>
  </si>
  <si>
    <t>version dématérialisée</t>
  </si>
  <si>
    <t>100 manuels techniques et textiles</t>
  </si>
  <si>
    <t>tests canyon et EFS</t>
  </si>
  <si>
    <t>Budget reconduit pour ordre dans l'attente du plan d'action 2022 et de l'évaluation de leur coût</t>
  </si>
  <si>
    <r>
      <t>Cotisations : UICN 2022 (1,236ke), PNR(0,363ke), IFREMIS (50</t>
    </r>
    <r>
      <rPr>
        <sz val="11"/>
        <rFont val="Calibri"/>
        <family val="2"/>
      </rPr>
      <t>€)</t>
    </r>
  </si>
  <si>
    <t>Amortissement full spectrum détector (0,525ke) affecté à tord à la  COSI</t>
  </si>
  <si>
    <t xml:space="preserve">Documentation cavité (0,9ke), actions diverses (0,5ke), Congrès UIS ( 0,5ke), Stages scientifiques (2,5ke) </t>
  </si>
  <si>
    <t>formations aux fédérés et membres COSI, rencontre groupe Myriapodologie</t>
  </si>
  <si>
    <t>réunion annuelle (1,7ke), réunion GEB (1,5ke)</t>
  </si>
  <si>
    <t>50 spéléoscopes (1ke) recettes 0,5 ke et 0,3ke de mécénat</t>
  </si>
  <si>
    <t>prêt de matériel aux fédérés. Achats (4Ke), entretien maintenance (1ke). Projet instrumentation hydro sécurisation de la pratique Juin 2022 (achat 3*2,5 immo), mécénat +1ke.</t>
  </si>
  <si>
    <t>Formations instructeur pris en charge par le pôle. Stage ANENA</t>
  </si>
  <si>
    <t>dont amortissement matériel instrumentation sur 3 ans (2,66ke)</t>
  </si>
  <si>
    <t xml:space="preserve">Formation sur logiciel PMB (sce civique + 3) </t>
  </si>
  <si>
    <t>Petites fournitures (0,18ke); déplacements (-6,56 + 4,285 ke); service civique (-1,185+1,1 ke)</t>
  </si>
  <si>
    <t>2DOCMAT</t>
  </si>
  <si>
    <t>Achat fonds documentaire (Michel Siffre) 0,4ke ; achat livres (0,6ke)</t>
  </si>
  <si>
    <t>La valorisation de la prestation BNF (numérisation de 18484 pages à 0,5€) = 9,242 €</t>
  </si>
  <si>
    <r>
      <t>2 Roll-up (0,11ke) Relieuse thermique (0,325ke mutualisation avec siège ? Facturation pour prêt à 15</t>
    </r>
    <r>
      <rPr>
        <sz val="11"/>
        <rFont val="Calibri"/>
        <family val="2"/>
      </rPr>
      <t>€</t>
    </r>
  </si>
  <si>
    <t xml:space="preserve">La commission publication doit être au minimum à l'équilibre. En 2021 déficit de 5,4ke </t>
  </si>
  <si>
    <t>GT avec responsables revues, éditeur, FFS pour chercher des solutions (équilibre financier, contenus…)</t>
  </si>
  <si>
    <t>Budget global maintenu dans l'attente de l'élection d'une nouvelle équipe</t>
  </si>
  <si>
    <t>1,5ke versés en 2021 pour l'expédition nationale (reste 1,5ke en 2022 si expé maintenue)</t>
  </si>
  <si>
    <t>Hors DPE et AI, la répartition peut-être revue</t>
  </si>
  <si>
    <t>2 postes vacants. Ventes au Congrés UIS ?</t>
  </si>
  <si>
    <t xml:space="preserve">1,3ke de ventes en 2021 </t>
  </si>
  <si>
    <t>Ventes au Congrés UIS ?</t>
  </si>
  <si>
    <t>mixité (tente douche)</t>
  </si>
  <si>
    <t>T-shirts achetés en 2020</t>
  </si>
  <si>
    <t>Camp Jeunes Berger Vercors</t>
  </si>
  <si>
    <t>Label Jeune (8ke) ; rencontre nationale de spéléologie scolaire (3ke)</t>
  </si>
  <si>
    <t>Actions de développement de la pratique formation public junior : 5 camps ( 1ke par camp)</t>
  </si>
  <si>
    <t>Camps Juniors pris en charge par le Pôle</t>
  </si>
  <si>
    <t xml:space="preserve">Week-Ends : Pâques (Vercors) ; Ascension (PO) ; Noël (?) ; et week-end COJ UIS </t>
  </si>
  <si>
    <t>1 barnum à 1ke (amorti sur 3 ans)</t>
  </si>
  <si>
    <t>Prise en charge par un élu ou Damien CHIGOT</t>
  </si>
  <si>
    <t>pas de dépenses en 2021</t>
  </si>
  <si>
    <t>Contribution de 1,3ke en 2021</t>
  </si>
  <si>
    <t>Dont projet instrumentation de 3 sites par la COSI</t>
  </si>
  <si>
    <t>matériel (0,5ke réduit après achats 2021, achats pour malles pédagogique) projet capteurs connectés (1,5ke)</t>
  </si>
  <si>
    <r>
      <t>30k</t>
    </r>
    <r>
      <rPr>
        <sz val="11"/>
        <rFont val="Calibri"/>
        <family val="2"/>
      </rPr>
      <t xml:space="preserve">€ obtenus en 2021, plus réaliste de miser sur 20€ pour 2022 ? (voir </t>
    </r>
    <r>
      <rPr>
        <sz val="11"/>
        <rFont val="Calibri"/>
        <family val="2"/>
        <scheme val="minor"/>
      </rPr>
      <t>contrat pluriannuel DEV</t>
    </r>
  </si>
  <si>
    <t>Intégration suivi du budget UIS 2022 (hors bénévolat et dons 274ke)</t>
  </si>
  <si>
    <t>Diminution Assurance Mutlirisque</t>
  </si>
  <si>
    <t>Sage, Ciel paie, Cloud paie, Adobe, web maintenance</t>
  </si>
  <si>
    <t>Dépense 6,6ke en 2021 , 4% d'augmentation ou plus ?</t>
  </si>
  <si>
    <t>Solynet (5,04ke) , deltacom, Ap2ml, télégil, radiateurs (0,8ke)</t>
  </si>
  <si>
    <t>ovh+poste+orange+colissimo+blue jeans</t>
  </si>
  <si>
    <t>diminution si BP fermé</t>
  </si>
  <si>
    <t>voir pour aménagement salle</t>
  </si>
  <si>
    <t>Grenke + axal</t>
  </si>
  <si>
    <t>CF simulation amortissement</t>
  </si>
  <si>
    <t>Calcul effectué par l'expert comptable</t>
  </si>
  <si>
    <t>Dont hausse salaires (3,2% SMC ; 1,5% autres ; et primes)</t>
  </si>
  <si>
    <t>hébergement AVEN et site internet sécurisé</t>
  </si>
  <si>
    <t>Action web hebergement+OVH Heb (Xsalto pas avant 2 ans)</t>
  </si>
  <si>
    <t>Amortissement achats locaux</t>
  </si>
  <si>
    <t>Subv. accordée pour l'achat des locaux reprise chaque année pour un montant de 7,4ke maxi jusqu'à son solde</t>
  </si>
  <si>
    <t>dont Prévention des risques (8,383ke +20ke) Malette pédagogique (15ke), AP Modèles économiques (20ke)</t>
  </si>
  <si>
    <t>En 2021 sur attribution de 2,9ke (4 dossiers) sur 1 budget de 6ke. 2 dossiers envisagés en 2022</t>
  </si>
  <si>
    <r>
      <t xml:space="preserve">lot national (9ke dont </t>
    </r>
    <r>
      <rPr>
        <sz val="11"/>
        <color rgb="FFFF0000"/>
        <rFont val="Calibri"/>
        <family val="2"/>
        <scheme val="minor"/>
      </rPr>
      <t>8 ke couverts par Fonds Didelot</t>
    </r>
    <r>
      <rPr>
        <sz val="11"/>
        <rFont val="Calibri"/>
        <family val="2"/>
        <scheme val="minor"/>
      </rPr>
      <t xml:space="preserve">), équipement CTN (2ke) </t>
    </r>
  </si>
  <si>
    <t>Préparation manuel technique V4. Réunions groupe de travail (10 personnes)</t>
  </si>
  <si>
    <t>besoin matériel suite perte dotation BEAL.</t>
  </si>
  <si>
    <r>
      <t xml:space="preserve">réunion DN rentrée + DN JE ; </t>
    </r>
    <r>
      <rPr>
        <sz val="11"/>
        <color rgb="FFFF0000"/>
        <rFont val="Calibri"/>
        <family val="2"/>
        <scheme val="minor"/>
      </rPr>
      <t>Congrès UIS 1ke si participation</t>
    </r>
  </si>
  <si>
    <r>
      <t xml:space="preserve">fonctionnement (0,1ke) CT (3ke) réunion mai 2022  </t>
    </r>
    <r>
      <rPr>
        <sz val="11"/>
        <color rgb="FFFF0000"/>
        <rFont val="Calibri"/>
        <family val="2"/>
        <scheme val="minor"/>
      </rPr>
      <t>2ke rajoutés pour projet vidéo</t>
    </r>
  </si>
  <si>
    <t>support de communication, spélunca mémoires</t>
  </si>
  <si>
    <t>a rajouter : 2ke commission Base de données et Fonctionnement pôle 1,6ke</t>
  </si>
  <si>
    <t xml:space="preserve">Démarrage en Septembre 2022. Appel à projet. </t>
  </si>
  <si>
    <t>2ENSAFO</t>
  </si>
  <si>
    <t>2ENS</t>
  </si>
  <si>
    <t>Base de données</t>
  </si>
  <si>
    <t>2BDD</t>
  </si>
  <si>
    <t>2Pat</t>
  </si>
  <si>
    <t>3PJ</t>
  </si>
  <si>
    <t>situation 2022</t>
  </si>
  <si>
    <t>formation du pôle</t>
  </si>
  <si>
    <t>Action Pole Enseignement</t>
  </si>
  <si>
    <t>2ENSACT</t>
  </si>
  <si>
    <t>Projet NVX</t>
  </si>
  <si>
    <t>Plan d'actions</t>
  </si>
  <si>
    <t>Données financières</t>
  </si>
  <si>
    <t>Budgets prévisionnels</t>
  </si>
  <si>
    <t>Totaux des charges BAL affectées au projet</t>
  </si>
  <si>
    <t>Charges affectées de la DTN</t>
  </si>
  <si>
    <t>Charges affectées de la Direction administrative</t>
  </si>
  <si>
    <t>Financement demandé</t>
  </si>
  <si>
    <t>Fonds dédiés              N-1</t>
  </si>
  <si>
    <t>Solde fonds dédiés N-1 non justifiés</t>
  </si>
  <si>
    <t>Référence BAL</t>
  </si>
  <si>
    <t>Structuration d'un dispositif fédéral de prévention et de gestion des risques en spéléologie, canyonisme et plongée souterraine</t>
  </si>
  <si>
    <t>BAL #PREVRISK</t>
  </si>
  <si>
    <t>Redéfinition de la stratégie fédérale de formation et programmation des formations fédérales en spéléologie, canyonisme et plongée souterraine</t>
  </si>
  <si>
    <t>BAL #FOR</t>
  </si>
  <si>
    <t>Renforcement et maintien du haut niveau d'expertise du centre de ressources fédéral de la spéléologie, du canyonisme, de la plongée souterraine et des milieux de pratique</t>
  </si>
  <si>
    <t>BAL #EXP</t>
  </si>
  <si>
    <t>Développement des activités fédérales pour tous les publics</t>
  </si>
  <si>
    <t>BAL #DEV</t>
  </si>
  <si>
    <t>Campagne de subvention PSF 2021</t>
  </si>
  <si>
    <t>Mallette péda environnement</t>
  </si>
  <si>
    <t xml:space="preserve">Aide exceptionnelle - Plan France Relance - Aide à la transformation numérique des fédérations </t>
  </si>
  <si>
    <t>HORS Cdév/ Aide exceptionnelle</t>
  </si>
  <si>
    <t>AP Modèles économiques coopératifs</t>
  </si>
  <si>
    <t>HORS CDév/ AP dédié</t>
  </si>
  <si>
    <t>Bilan CDév SPORTS</t>
  </si>
  <si>
    <t>549</t>
  </si>
  <si>
    <t>2SCIACTI</t>
  </si>
  <si>
    <t>517</t>
  </si>
  <si>
    <t>Honoraires social</t>
  </si>
  <si>
    <t>Charge des co-propriété travaux</t>
  </si>
  <si>
    <t>réalisé 2022</t>
  </si>
  <si>
    <t>Budget 2023</t>
  </si>
  <si>
    <t>budget 2023</t>
  </si>
  <si>
    <t>4EDSCMAT</t>
  </si>
  <si>
    <t>EDSC Matériel</t>
  </si>
  <si>
    <t>132</t>
  </si>
  <si>
    <t>133</t>
  </si>
  <si>
    <t>659</t>
  </si>
  <si>
    <t>701</t>
  </si>
  <si>
    <t>543</t>
  </si>
  <si>
    <t>553</t>
  </si>
  <si>
    <t>613</t>
  </si>
  <si>
    <t>2ENSJEE</t>
  </si>
  <si>
    <t>2ENSAMO</t>
  </si>
  <si>
    <t>TOTAL fonds dédiés demandés</t>
  </si>
  <si>
    <t>TOTAL fonds dédiés calculés</t>
  </si>
  <si>
    <t>Rappels totaux divers pour calculs Cdév</t>
  </si>
  <si>
    <t>HORS Cdév/ AP Coopération internationale MSJOP</t>
  </si>
  <si>
    <t>Aide exceptionnelle - UIS 2021</t>
  </si>
  <si>
    <t>HORS Cdév/ AP SSDD MS 2018</t>
  </si>
  <si>
    <t>Fonds dédiés selon formule ANS</t>
  </si>
  <si>
    <t>Subvention 2022 non justifiée</t>
  </si>
  <si>
    <t>TEB</t>
  </si>
  <si>
    <t>Subvention 2022 justifiée</t>
  </si>
  <si>
    <t>Fonds dédiés       N-1 justifiés</t>
  </si>
  <si>
    <t>Financement accordé 2022</t>
  </si>
  <si>
    <t>Totaux des charges affectées au projet / Coûts justifiés</t>
  </si>
  <si>
    <t xml:space="preserve">Charges nettes spécifiques projet                                   </t>
  </si>
  <si>
    <t>Charges indirectes affectées de fonctionnement</t>
  </si>
  <si>
    <t>SUIVI CONTRAT DE DEVELOPPEMENT 2022 - AGENCE NATIONALE DU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</si>
</sst>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0.0000"/>
    <numFmt numFmtId="167" formatCode="#,##0_);\(#,##0\);&quot; - &quot;_);@_)"/>
    <numFmt numFmtId="168" formatCode="#,##0.0_);\(#,##0.0\);&quot; - &quot;_);@_)"/>
    <numFmt numFmtId="169" formatCode="#,##0.000_);\(#,##0.000\);&quot; - &quot;_);@_)"/>
    <numFmt numFmtId="170" formatCode="_-* #,##0.0\ _€_-;\-* #,##0.0\ _€_-;_-* &quot;-&quot;?\ _€_-;_-@_-"/>
    <numFmt numFmtId="171" formatCode="_-* #,##0.00\ _€_-;\-* #,##0.00\ _€_-;_-* &quot;-&quot;?\ _€_-;_-@_-"/>
    <numFmt numFmtId="172" formatCode="0.0"/>
    <numFmt numFmtId="173" formatCode="#,##0.0\ &quot;€&quot;"/>
    <numFmt numFmtId="174" formatCode="#,##0\ &quot;€&quot;"/>
    <numFmt numFmtId="175" formatCode="_-* #,##0.00000\ _€_-;\-* #,##0.00000\ _€_-;_-* &quot;-&quot;?\ _€_-;_-@_-"/>
    <numFmt numFmtId="176" formatCode="#,##0.000_ ;\-#,##0.000\ "/>
    <numFmt numFmtId="177" formatCode="#,##0.00_ ;\-#,##0.00\ 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</font>
    <font>
      <sz val="11.35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0"/>
      <name val="Arial"/>
      <family val="2"/>
    </font>
    <font>
      <b/>
      <i/>
      <sz val="10"/>
      <color theme="0"/>
      <name val="Calibri"/>
      <family val="2"/>
      <scheme val="minor"/>
    </font>
    <font>
      <b/>
      <i/>
      <sz val="9"/>
      <color theme="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lightUp">
        <bgColor theme="8" tint="-0.249977111117893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4" tint="0.59999389629810485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Gray">
        <bgColor theme="0"/>
      </patternFill>
    </fill>
    <fill>
      <patternFill patternType="lightGray">
        <bgColor theme="9" tint="0.59999389629810485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0" fillId="0" borderId="0"/>
    <xf numFmtId="0" fontId="31" fillId="0" borderId="0"/>
    <xf numFmtId="43" fontId="31" fillId="0" borderId="0" applyFont="0" applyFill="0" applyBorder="0" applyAlignment="0" applyProtection="0"/>
    <xf numFmtId="0" fontId="35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64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right" vertical="center"/>
    </xf>
    <xf numFmtId="166" fontId="0" fillId="0" borderId="0" xfId="0" applyNumberForma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9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8" fontId="7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7" fontId="7" fillId="0" borderId="0" xfId="0" applyNumberFormat="1" applyFont="1" applyAlignment="1">
      <alignment horizontal="left" vertical="center"/>
    </xf>
    <xf numFmtId="170" fontId="7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167" fontId="4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8" fontId="4" fillId="0" borderId="2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68" fontId="7" fillId="3" borderId="0" xfId="0" applyNumberFormat="1" applyFont="1" applyFill="1" applyAlignment="1">
      <alignment horizontal="right" vertical="center"/>
    </xf>
    <xf numFmtId="168" fontId="0" fillId="0" borderId="0" xfId="0" applyNumberForma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9" fontId="7" fillId="3" borderId="0" xfId="0" applyNumberFormat="1" applyFont="1" applyFill="1" applyAlignment="1">
      <alignment horizontal="right" vertical="center"/>
    </xf>
    <xf numFmtId="168" fontId="4" fillId="3" borderId="0" xfId="0" applyNumberFormat="1" applyFont="1" applyFill="1" applyAlignment="1">
      <alignment horizontal="right" vertical="center"/>
    </xf>
    <xf numFmtId="168" fontId="4" fillId="3" borderId="2" xfId="0" applyNumberFormat="1" applyFont="1" applyFill="1" applyBorder="1" applyAlignment="1">
      <alignment horizontal="right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right" vertical="center"/>
    </xf>
    <xf numFmtId="168" fontId="7" fillId="4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7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70" fontId="1" fillId="0" borderId="0" xfId="0" applyNumberFormat="1" applyFont="1" applyAlignment="1">
      <alignment horizontal="right" vertical="center"/>
    </xf>
    <xf numFmtId="0" fontId="0" fillId="0" borderId="3" xfId="0" applyBorder="1" applyAlignment="1">
      <alignment horizontal="left" vertical="center"/>
    </xf>
    <xf numFmtId="168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68" fontId="1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7" fontId="4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167" fontId="4" fillId="0" borderId="2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168" fontId="7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0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7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8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left" vertical="center"/>
    </xf>
    <xf numFmtId="170" fontId="12" fillId="0" borderId="0" xfId="0" applyNumberFormat="1" applyFont="1" applyAlignment="1">
      <alignment vertical="center"/>
    </xf>
    <xf numFmtId="167" fontId="0" fillId="0" borderId="0" xfId="0" applyNumberFormat="1" applyAlignment="1">
      <alignment horizontal="right" vertical="center" wrapText="1"/>
    </xf>
    <xf numFmtId="167" fontId="1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right" vertical="center"/>
    </xf>
    <xf numFmtId="170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8" fontId="7" fillId="6" borderId="0" xfId="0" applyNumberFormat="1" applyFont="1" applyFill="1" applyAlignment="1">
      <alignment horizontal="right" vertical="center"/>
    </xf>
    <xf numFmtId="168" fontId="4" fillId="6" borderId="0" xfId="0" applyNumberFormat="1" applyFont="1" applyFill="1" applyAlignment="1">
      <alignment horizontal="right" vertical="center"/>
    </xf>
    <xf numFmtId="168" fontId="4" fillId="6" borderId="2" xfId="0" applyNumberFormat="1" applyFont="1" applyFill="1" applyBorder="1" applyAlignment="1">
      <alignment horizontal="right" vertical="center"/>
    </xf>
    <xf numFmtId="168" fontId="4" fillId="6" borderId="1" xfId="0" applyNumberFormat="1" applyFont="1" applyFill="1" applyBorder="1" applyAlignment="1">
      <alignment horizontal="center" vertical="center"/>
    </xf>
    <xf numFmtId="168" fontId="4" fillId="5" borderId="0" xfId="0" applyNumberFormat="1" applyFont="1" applyFill="1" applyAlignment="1">
      <alignment horizontal="right" vertical="center"/>
    </xf>
    <xf numFmtId="168" fontId="4" fillId="5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/>
    <xf numFmtId="0" fontId="4" fillId="7" borderId="1" xfId="0" applyFont="1" applyFill="1" applyBorder="1" applyAlignment="1">
      <alignment horizontal="right" vertical="center"/>
    </xf>
    <xf numFmtId="170" fontId="4" fillId="7" borderId="1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70" fontId="0" fillId="7" borderId="0" xfId="0" applyNumberForma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70" fontId="4" fillId="7" borderId="1" xfId="0" applyNumberFormat="1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 vertical="center"/>
    </xf>
    <xf numFmtId="168" fontId="7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68" fontId="16" fillId="0" borderId="0" xfId="0" applyNumberFormat="1" applyFont="1" applyAlignment="1">
      <alignment horizontal="right" vertical="center"/>
    </xf>
    <xf numFmtId="0" fontId="7" fillId="0" borderId="0" xfId="0" applyFont="1"/>
    <xf numFmtId="0" fontId="16" fillId="2" borderId="0" xfId="0" applyFont="1" applyFill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168" fontId="4" fillId="8" borderId="2" xfId="0" applyNumberFormat="1" applyFont="1" applyFill="1" applyBorder="1" applyAlignment="1">
      <alignment horizontal="right" vertical="center"/>
    </xf>
    <xf numFmtId="0" fontId="4" fillId="8" borderId="1" xfId="0" applyFont="1" applyFill="1" applyBorder="1" applyAlignment="1">
      <alignment horizontal="center" vertical="center"/>
    </xf>
    <xf numFmtId="168" fontId="4" fillId="8" borderId="2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68" fontId="0" fillId="2" borderId="0" xfId="0" applyNumberFormat="1" applyFill="1" applyAlignment="1">
      <alignment horizontal="right" vertical="center"/>
    </xf>
    <xf numFmtId="168" fontId="4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8" fontId="7" fillId="2" borderId="0" xfId="0" applyNumberFormat="1" applyFont="1" applyFill="1" applyAlignment="1">
      <alignment horizontal="right" vertical="center"/>
    </xf>
    <xf numFmtId="168" fontId="1" fillId="2" borderId="0" xfId="0" applyNumberFormat="1" applyFont="1" applyFill="1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170" fontId="12" fillId="0" borderId="0" xfId="0" applyNumberFormat="1" applyFont="1" applyAlignment="1">
      <alignment horizontal="left" vertical="center"/>
    </xf>
    <xf numFmtId="168" fontId="9" fillId="2" borderId="0" xfId="0" applyNumberFormat="1" applyFont="1" applyFill="1" applyAlignment="1">
      <alignment horizontal="center" vertical="center"/>
    </xf>
    <xf numFmtId="168" fontId="22" fillId="9" borderId="0" xfId="0" applyNumberFormat="1" applyFont="1" applyFill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7" fontId="4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0" fontId="23" fillId="11" borderId="4" xfId="0" applyNumberFormat="1" applyFont="1" applyFill="1" applyBorder="1" applyAlignment="1">
      <alignment horizontal="center" vertical="center"/>
    </xf>
    <xf numFmtId="168" fontId="4" fillId="5" borderId="1" xfId="0" applyNumberFormat="1" applyFont="1" applyFill="1" applyBorder="1" applyAlignment="1">
      <alignment horizontal="center" vertical="center"/>
    </xf>
    <xf numFmtId="170" fontId="8" fillId="6" borderId="4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6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168" fontId="7" fillId="5" borderId="4" xfId="0" applyNumberFormat="1" applyFont="1" applyFill="1" applyBorder="1" applyAlignment="1">
      <alignment vertical="center"/>
    </xf>
    <xf numFmtId="168" fontId="4" fillId="5" borderId="4" xfId="0" applyNumberFormat="1" applyFont="1" applyFill="1" applyBorder="1" applyAlignment="1">
      <alignment vertical="center"/>
    </xf>
    <xf numFmtId="168" fontId="7" fillId="6" borderId="4" xfId="0" applyNumberFormat="1" applyFont="1" applyFill="1" applyBorder="1" applyAlignment="1">
      <alignment vertical="center"/>
    </xf>
    <xf numFmtId="168" fontId="7" fillId="0" borderId="4" xfId="0" applyNumberFormat="1" applyFont="1" applyBorder="1" applyAlignment="1">
      <alignment vertical="center"/>
    </xf>
    <xf numFmtId="168" fontId="4" fillId="6" borderId="4" xfId="0" applyNumberFormat="1" applyFont="1" applyFill="1" applyBorder="1" applyAlignment="1">
      <alignment vertical="center"/>
    </xf>
    <xf numFmtId="0" fontId="20" fillId="11" borderId="0" xfId="0" applyFont="1" applyFill="1" applyAlignment="1">
      <alignment horizontal="right" vertical="center"/>
    </xf>
    <xf numFmtId="168" fontId="2" fillId="11" borderId="4" xfId="0" applyNumberFormat="1" applyFont="1" applyFill="1" applyBorder="1" applyAlignment="1">
      <alignment vertical="center"/>
    </xf>
    <xf numFmtId="168" fontId="20" fillId="11" borderId="4" xfId="0" applyNumberFormat="1" applyFont="1" applyFill="1" applyBorder="1" applyAlignment="1">
      <alignment vertical="center"/>
    </xf>
    <xf numFmtId="168" fontId="7" fillId="6" borderId="13" xfId="0" applyNumberFormat="1" applyFont="1" applyFill="1" applyBorder="1" applyAlignment="1">
      <alignment horizontal="right" vertical="center"/>
    </xf>
    <xf numFmtId="168" fontId="7" fillId="6" borderId="4" xfId="0" applyNumberFormat="1" applyFont="1" applyFill="1" applyBorder="1" applyAlignment="1">
      <alignment horizontal="right" vertical="center"/>
    </xf>
    <xf numFmtId="168" fontId="4" fillId="6" borderId="4" xfId="0" applyNumberFormat="1" applyFont="1" applyFill="1" applyBorder="1" applyAlignment="1">
      <alignment horizontal="right" vertical="center"/>
    </xf>
    <xf numFmtId="168" fontId="7" fillId="6" borderId="14" xfId="0" applyNumberFormat="1" applyFont="1" applyFill="1" applyBorder="1" applyAlignment="1">
      <alignment horizontal="right" vertical="center"/>
    </xf>
    <xf numFmtId="168" fontId="4" fillId="6" borderId="15" xfId="0" applyNumberFormat="1" applyFont="1" applyFill="1" applyBorder="1" applyAlignment="1">
      <alignment vertical="center"/>
    </xf>
    <xf numFmtId="168" fontId="7" fillId="6" borderId="13" xfId="0" applyNumberFormat="1" applyFont="1" applyFill="1" applyBorder="1" applyAlignment="1">
      <alignment vertical="center"/>
    </xf>
    <xf numFmtId="168" fontId="4" fillId="6" borderId="14" xfId="0" applyNumberFormat="1" applyFont="1" applyFill="1" applyBorder="1" applyAlignment="1">
      <alignment vertical="center"/>
    </xf>
    <xf numFmtId="168" fontId="7" fillId="5" borderId="13" xfId="0" applyNumberFormat="1" applyFont="1" applyFill="1" applyBorder="1" applyAlignment="1">
      <alignment vertical="center"/>
    </xf>
    <xf numFmtId="168" fontId="4" fillId="5" borderId="14" xfId="0" applyNumberFormat="1" applyFont="1" applyFill="1" applyBorder="1" applyAlignment="1">
      <alignment vertical="center"/>
    </xf>
    <xf numFmtId="168" fontId="2" fillId="11" borderId="13" xfId="0" applyNumberFormat="1" applyFont="1" applyFill="1" applyBorder="1" applyAlignment="1">
      <alignment vertical="center"/>
    </xf>
    <xf numFmtId="168" fontId="20" fillId="11" borderId="14" xfId="0" applyNumberFormat="1" applyFont="1" applyFill="1" applyBorder="1" applyAlignment="1">
      <alignment vertical="center"/>
    </xf>
    <xf numFmtId="168" fontId="8" fillId="0" borderId="13" xfId="0" applyNumberFormat="1" applyFont="1" applyBorder="1" applyAlignment="1">
      <alignment vertical="center"/>
    </xf>
    <xf numFmtId="168" fontId="9" fillId="2" borderId="13" xfId="0" applyNumberFormat="1" applyFont="1" applyFill="1" applyBorder="1" applyAlignment="1">
      <alignment horizontal="center" vertical="center"/>
    </xf>
    <xf numFmtId="168" fontId="8" fillId="0" borderId="4" xfId="0" applyNumberFormat="1" applyFont="1" applyBorder="1" applyAlignment="1">
      <alignment vertical="center"/>
    </xf>
    <xf numFmtId="168" fontId="4" fillId="0" borderId="4" xfId="0" applyNumberFormat="1" applyFont="1" applyBorder="1" applyAlignment="1">
      <alignment vertical="center"/>
    </xf>
    <xf numFmtId="168" fontId="4" fillId="0" borderId="14" xfId="0" applyNumberFormat="1" applyFont="1" applyBorder="1" applyAlignment="1">
      <alignment vertical="center"/>
    </xf>
    <xf numFmtId="168" fontId="4" fillId="6" borderId="14" xfId="0" applyNumberFormat="1" applyFont="1" applyFill="1" applyBorder="1" applyAlignment="1">
      <alignment horizontal="right" vertical="center"/>
    </xf>
    <xf numFmtId="168" fontId="0" fillId="8" borderId="13" xfId="0" applyNumberFormat="1" applyFill="1" applyBorder="1" applyAlignment="1">
      <alignment horizontal="right" vertical="center"/>
    </xf>
    <xf numFmtId="168" fontId="0" fillId="8" borderId="13" xfId="0" applyNumberFormat="1" applyFill="1" applyBorder="1" applyAlignment="1">
      <alignment horizontal="center" vertical="center"/>
    </xf>
    <xf numFmtId="168" fontId="0" fillId="8" borderId="4" xfId="0" applyNumberFormat="1" applyFill="1" applyBorder="1" applyAlignment="1">
      <alignment horizontal="right" vertical="center"/>
    </xf>
    <xf numFmtId="168" fontId="0" fillId="8" borderId="4" xfId="0" applyNumberFormat="1" applyFill="1" applyBorder="1" applyAlignment="1">
      <alignment horizontal="center" vertical="center"/>
    </xf>
    <xf numFmtId="168" fontId="10" fillId="8" borderId="4" xfId="0" applyNumberFormat="1" applyFont="1" applyFill="1" applyBorder="1" applyAlignment="1">
      <alignment horizontal="right" vertical="center"/>
    </xf>
    <xf numFmtId="168" fontId="10" fillId="8" borderId="4" xfId="0" applyNumberFormat="1" applyFont="1" applyFill="1" applyBorder="1" applyAlignment="1">
      <alignment horizontal="center" vertical="center"/>
    </xf>
    <xf numFmtId="168" fontId="4" fillId="8" borderId="4" xfId="0" applyNumberFormat="1" applyFont="1" applyFill="1" applyBorder="1" applyAlignment="1">
      <alignment horizontal="right" vertical="center"/>
    </xf>
    <xf numFmtId="168" fontId="4" fillId="8" borderId="4" xfId="0" applyNumberFormat="1" applyFont="1" applyFill="1" applyBorder="1" applyAlignment="1">
      <alignment horizontal="center" vertical="center"/>
    </xf>
    <xf numFmtId="168" fontId="7" fillId="8" borderId="4" xfId="0" applyNumberFormat="1" applyFont="1" applyFill="1" applyBorder="1" applyAlignment="1">
      <alignment horizontal="right" vertical="center"/>
    </xf>
    <xf numFmtId="168" fontId="4" fillId="8" borderId="14" xfId="0" applyNumberFormat="1" applyFont="1" applyFill="1" applyBorder="1" applyAlignment="1">
      <alignment horizontal="right" vertical="center"/>
    </xf>
    <xf numFmtId="168" fontId="4" fillId="8" borderId="14" xfId="0" applyNumberFormat="1" applyFont="1" applyFill="1" applyBorder="1" applyAlignment="1">
      <alignment horizontal="center" vertical="center"/>
    </xf>
    <xf numFmtId="167" fontId="0" fillId="6" borderId="13" xfId="0" applyNumberFormat="1" applyFill="1" applyBorder="1" applyAlignment="1">
      <alignment horizontal="right" vertical="center"/>
    </xf>
    <xf numFmtId="167" fontId="0" fillId="6" borderId="4" xfId="0" applyNumberFormat="1" applyFill="1" applyBorder="1" applyAlignment="1">
      <alignment horizontal="right" vertical="center"/>
    </xf>
    <xf numFmtId="167" fontId="7" fillId="6" borderId="4" xfId="0" applyNumberFormat="1" applyFont="1" applyFill="1" applyBorder="1" applyAlignment="1">
      <alignment horizontal="right" vertical="center"/>
    </xf>
    <xf numFmtId="168" fontId="0" fillId="6" borderId="4" xfId="0" applyNumberFormat="1" applyFill="1" applyBorder="1" applyAlignment="1">
      <alignment horizontal="right" vertical="center"/>
    </xf>
    <xf numFmtId="168" fontId="0" fillId="6" borderId="13" xfId="0" applyNumberFormat="1" applyFill="1" applyBorder="1" applyAlignment="1">
      <alignment horizontal="right" vertical="center"/>
    </xf>
    <xf numFmtId="168" fontId="0" fillId="6" borderId="14" xfId="0" applyNumberForma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8" fontId="15" fillId="0" borderId="0" xfId="0" applyNumberFormat="1" applyFont="1" applyAlignment="1">
      <alignment horizontal="right" vertical="center"/>
    </xf>
    <xf numFmtId="0" fontId="7" fillId="3" borderId="0" xfId="0" applyFont="1" applyFill="1" applyAlignment="1">
      <alignment vertical="center"/>
    </xf>
    <xf numFmtId="170" fontId="7" fillId="3" borderId="0" xfId="0" applyNumberFormat="1" applyFont="1" applyFill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9" fontId="7" fillId="3" borderId="0" xfId="0" applyNumberFormat="1" applyFont="1" applyFill="1" applyAlignment="1">
      <alignment vertical="center"/>
    </xf>
    <xf numFmtId="165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left" vertical="center"/>
    </xf>
    <xf numFmtId="171" fontId="7" fillId="3" borderId="0" xfId="0" applyNumberFormat="1" applyFont="1" applyFill="1" applyAlignment="1">
      <alignment vertical="center"/>
    </xf>
    <xf numFmtId="165" fontId="7" fillId="3" borderId="0" xfId="0" applyNumberFormat="1" applyFont="1" applyFill="1" applyAlignment="1">
      <alignment vertical="center"/>
    </xf>
    <xf numFmtId="172" fontId="7" fillId="3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170" fontId="8" fillId="5" borderId="4" xfId="0" applyNumberFormat="1" applyFont="1" applyFill="1" applyBorder="1" applyAlignment="1">
      <alignment horizontal="center" vertical="center"/>
    </xf>
    <xf numFmtId="170" fontId="23" fillId="10" borderId="8" xfId="0" applyNumberFormat="1" applyFont="1" applyFill="1" applyBorder="1" applyAlignment="1">
      <alignment horizontal="center" vertical="center"/>
    </xf>
    <xf numFmtId="170" fontId="21" fillId="6" borderId="4" xfId="0" applyNumberFormat="1" applyFont="1" applyFill="1" applyBorder="1" applyAlignment="1">
      <alignment horizontal="center" vertical="center"/>
    </xf>
    <xf numFmtId="165" fontId="7" fillId="0" borderId="0" xfId="0" applyNumberFormat="1" applyFont="1"/>
    <xf numFmtId="0" fontId="4" fillId="0" borderId="0" xfId="0" applyFont="1"/>
    <xf numFmtId="165" fontId="4" fillId="0" borderId="0" xfId="0" applyNumberFormat="1" applyFont="1"/>
    <xf numFmtId="168" fontId="4" fillId="3" borderId="0" xfId="0" applyNumberFormat="1" applyFont="1" applyFill="1" applyAlignment="1">
      <alignment horizontal="left" vertical="center"/>
    </xf>
    <xf numFmtId="169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13" borderId="0" xfId="0" applyFont="1" applyFill="1" applyAlignment="1">
      <alignment horizontal="right" vertical="center"/>
    </xf>
    <xf numFmtId="168" fontId="7" fillId="13" borderId="13" xfId="0" applyNumberFormat="1" applyFont="1" applyFill="1" applyBorder="1" applyAlignment="1">
      <alignment vertical="center"/>
    </xf>
    <xf numFmtId="168" fontId="4" fillId="13" borderId="15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68" fontId="2" fillId="0" borderId="0" xfId="0" applyNumberFormat="1" applyFont="1" applyAlignment="1">
      <alignment vertical="center"/>
    </xf>
    <xf numFmtId="168" fontId="20" fillId="0" borderId="0" xfId="0" applyNumberFormat="1" applyFont="1" applyAlignment="1">
      <alignment vertical="center"/>
    </xf>
    <xf numFmtId="168" fontId="4" fillId="13" borderId="13" xfId="0" applyNumberFormat="1" applyFont="1" applyFill="1" applyBorder="1" applyAlignment="1">
      <alignment vertical="center"/>
    </xf>
    <xf numFmtId="169" fontId="7" fillId="3" borderId="0" xfId="0" applyNumberFormat="1" applyFont="1" applyFill="1" applyAlignment="1">
      <alignment vertical="center"/>
    </xf>
    <xf numFmtId="168" fontId="4" fillId="5" borderId="8" xfId="0" applyNumberFormat="1" applyFont="1" applyFill="1" applyBorder="1" applyAlignment="1">
      <alignment vertical="center"/>
    </xf>
    <xf numFmtId="168" fontId="4" fillId="5" borderId="16" xfId="0" applyNumberFormat="1" applyFont="1" applyFill="1" applyBorder="1" applyAlignment="1">
      <alignment vertical="center"/>
    </xf>
    <xf numFmtId="168" fontId="4" fillId="5" borderId="6" xfId="0" applyNumberFormat="1" applyFont="1" applyFill="1" applyBorder="1" applyAlignment="1">
      <alignment vertical="center"/>
    </xf>
    <xf numFmtId="168" fontId="2" fillId="11" borderId="17" xfId="0" applyNumberFormat="1" applyFont="1" applyFill="1" applyBorder="1" applyAlignment="1">
      <alignment vertical="center"/>
    </xf>
    <xf numFmtId="168" fontId="4" fillId="13" borderId="1" xfId="0" applyNumberFormat="1" applyFont="1" applyFill="1" applyBorder="1" applyAlignment="1">
      <alignment horizontal="center" vertical="center"/>
    </xf>
    <xf numFmtId="168" fontId="4" fillId="13" borderId="1" xfId="0" applyNumberFormat="1" applyFont="1" applyFill="1" applyBorder="1" applyAlignment="1">
      <alignment horizontal="right" vertical="center"/>
    </xf>
    <xf numFmtId="168" fontId="20" fillId="11" borderId="1" xfId="0" applyNumberFormat="1" applyFont="1" applyFill="1" applyBorder="1" applyAlignment="1">
      <alignment horizontal="center" vertical="center"/>
    </xf>
    <xf numFmtId="168" fontId="20" fillId="11" borderId="1" xfId="0" applyNumberFormat="1" applyFont="1" applyFill="1" applyBorder="1" applyAlignment="1">
      <alignment horizontal="right" vertical="center"/>
    </xf>
    <xf numFmtId="168" fontId="4" fillId="5" borderId="17" xfId="0" applyNumberFormat="1" applyFont="1" applyFill="1" applyBorder="1" applyAlignment="1">
      <alignment vertical="center"/>
    </xf>
    <xf numFmtId="168" fontId="20" fillId="11" borderId="17" xfId="0" applyNumberFormat="1" applyFont="1" applyFill="1" applyBorder="1" applyAlignment="1">
      <alignment vertical="center"/>
    </xf>
    <xf numFmtId="168" fontId="20" fillId="11" borderId="6" xfId="0" applyNumberFormat="1" applyFont="1" applyFill="1" applyBorder="1" applyAlignment="1">
      <alignment vertical="center"/>
    </xf>
    <xf numFmtId="168" fontId="20" fillId="0" borderId="17" xfId="0" applyNumberFormat="1" applyFont="1" applyBorder="1" applyAlignment="1">
      <alignment vertical="center"/>
    </xf>
    <xf numFmtId="168" fontId="20" fillId="0" borderId="2" xfId="0" applyNumberFormat="1" applyFont="1" applyBorder="1" applyAlignment="1">
      <alignment vertical="center"/>
    </xf>
    <xf numFmtId="167" fontId="7" fillId="0" borderId="2" xfId="0" applyNumberFormat="1" applyFont="1" applyBorder="1" applyAlignment="1">
      <alignment horizontal="left" vertical="center"/>
    </xf>
    <xf numFmtId="168" fontId="2" fillId="0" borderId="2" xfId="0" applyNumberFormat="1" applyFont="1" applyBorder="1" applyAlignment="1">
      <alignment vertical="center"/>
    </xf>
    <xf numFmtId="20" fontId="7" fillId="0" borderId="0" xfId="0" applyNumberFormat="1" applyFont="1" applyAlignment="1">
      <alignment horizontal="left" vertical="center"/>
    </xf>
    <xf numFmtId="170" fontId="20" fillId="11" borderId="1" xfId="0" applyNumberFormat="1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right" vertical="center"/>
    </xf>
    <xf numFmtId="168" fontId="2" fillId="11" borderId="13" xfId="0" applyNumberFormat="1" applyFont="1" applyFill="1" applyBorder="1" applyAlignment="1">
      <alignment horizontal="right" vertical="center"/>
    </xf>
    <xf numFmtId="168" fontId="2" fillId="11" borderId="4" xfId="0" applyNumberFormat="1" applyFont="1" applyFill="1" applyBorder="1" applyAlignment="1">
      <alignment horizontal="right" vertical="center"/>
    </xf>
    <xf numFmtId="168" fontId="20" fillId="11" borderId="4" xfId="0" applyNumberFormat="1" applyFont="1" applyFill="1" applyBorder="1" applyAlignment="1">
      <alignment horizontal="right" vertical="center"/>
    </xf>
    <xf numFmtId="168" fontId="20" fillId="11" borderId="14" xfId="0" applyNumberFormat="1" applyFont="1" applyFill="1" applyBorder="1" applyAlignment="1">
      <alignment horizontal="right" vertical="center"/>
    </xf>
    <xf numFmtId="168" fontId="20" fillId="11" borderId="16" xfId="0" applyNumberFormat="1" applyFont="1" applyFill="1" applyBorder="1" applyAlignment="1">
      <alignment horizontal="right" vertical="center"/>
    </xf>
    <xf numFmtId="168" fontId="20" fillId="11" borderId="6" xfId="0" applyNumberFormat="1" applyFont="1" applyFill="1" applyBorder="1" applyAlignment="1">
      <alignment horizontal="right" vertical="center"/>
    </xf>
    <xf numFmtId="168" fontId="20" fillId="11" borderId="2" xfId="0" applyNumberFormat="1" applyFont="1" applyFill="1" applyBorder="1" applyAlignment="1">
      <alignment horizontal="right" vertical="center"/>
    </xf>
    <xf numFmtId="168" fontId="20" fillId="11" borderId="0" xfId="0" applyNumberFormat="1" applyFont="1" applyFill="1" applyAlignment="1">
      <alignment horizontal="right" vertical="center"/>
    </xf>
    <xf numFmtId="168" fontId="2" fillId="11" borderId="0" xfId="0" applyNumberFormat="1" applyFont="1" applyFill="1" applyAlignment="1">
      <alignment horizontal="right" vertical="center"/>
    </xf>
    <xf numFmtId="168" fontId="2" fillId="11" borderId="14" xfId="0" applyNumberFormat="1" applyFont="1" applyFill="1" applyBorder="1" applyAlignment="1">
      <alignment horizontal="right" vertical="center"/>
    </xf>
    <xf numFmtId="168" fontId="2" fillId="11" borderId="16" xfId="0" applyNumberFormat="1" applyFont="1" applyFill="1" applyBorder="1" applyAlignment="1">
      <alignment horizontal="right" vertical="center"/>
    </xf>
    <xf numFmtId="168" fontId="2" fillId="11" borderId="6" xfId="0" applyNumberFormat="1" applyFont="1" applyFill="1" applyBorder="1" applyAlignment="1">
      <alignment horizontal="right" vertical="center"/>
    </xf>
    <xf numFmtId="168" fontId="2" fillId="12" borderId="4" xfId="0" applyNumberFormat="1" applyFont="1" applyFill="1" applyBorder="1" applyAlignment="1">
      <alignment horizontal="right" vertical="center"/>
    </xf>
    <xf numFmtId="0" fontId="23" fillId="11" borderId="1" xfId="0" applyFont="1" applyFill="1" applyBorder="1" applyAlignment="1">
      <alignment horizontal="right" vertical="center"/>
    </xf>
    <xf numFmtId="168" fontId="22" fillId="11" borderId="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9" fontId="7" fillId="2" borderId="0" xfId="0" applyNumberFormat="1" applyFont="1" applyFill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0" fontId="28" fillId="14" borderId="20" xfId="0" applyFont="1" applyFill="1" applyBorder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165" fontId="7" fillId="15" borderId="0" xfId="0" applyNumberFormat="1" applyFont="1" applyFill="1" applyAlignment="1">
      <alignment horizontal="center" vertical="center"/>
    </xf>
    <xf numFmtId="167" fontId="7" fillId="0" borderId="1" xfId="0" applyNumberFormat="1" applyFont="1" applyBorder="1" applyAlignment="1">
      <alignment horizontal="left" vertical="center"/>
    </xf>
    <xf numFmtId="165" fontId="4" fillId="16" borderId="7" xfId="0" applyNumberFormat="1" applyFont="1" applyFill="1" applyBorder="1" applyAlignment="1">
      <alignment horizontal="center" vertical="center"/>
    </xf>
    <xf numFmtId="167" fontId="7" fillId="2" borderId="0" xfId="0" applyNumberFormat="1" applyFont="1" applyFill="1" applyAlignment="1">
      <alignment horizontal="left" vertical="center"/>
    </xf>
    <xf numFmtId="173" fontId="17" fillId="17" borderId="0" xfId="0" applyNumberFormat="1" applyFont="1" applyFill="1"/>
    <xf numFmtId="0" fontId="17" fillId="17" borderId="0" xfId="0" applyFont="1" applyFill="1"/>
    <xf numFmtId="167" fontId="4" fillId="2" borderId="0" xfId="0" applyNumberFormat="1" applyFont="1" applyFill="1" applyAlignment="1">
      <alignment horizontal="center" vertical="center"/>
    </xf>
    <xf numFmtId="167" fontId="27" fillId="0" borderId="0" xfId="0" applyNumberFormat="1" applyFont="1" applyAlignment="1">
      <alignment horizontal="left" vertical="center"/>
    </xf>
    <xf numFmtId="172" fontId="17" fillId="0" borderId="0" xfId="0" applyNumberFormat="1" applyFont="1"/>
    <xf numFmtId="168" fontId="4" fillId="6" borderId="1" xfId="0" applyNumberFormat="1" applyFont="1" applyFill="1" applyBorder="1" applyAlignment="1">
      <alignment horizontal="right" vertical="center"/>
    </xf>
    <xf numFmtId="168" fontId="20" fillId="11" borderId="2" xfId="0" applyNumberFormat="1" applyFont="1" applyFill="1" applyBorder="1" applyAlignment="1">
      <alignment vertical="center"/>
    </xf>
    <xf numFmtId="168" fontId="4" fillId="5" borderId="0" xfId="0" applyNumberFormat="1" applyFont="1" applyFill="1" applyAlignment="1">
      <alignment vertical="center"/>
    </xf>
    <xf numFmtId="168" fontId="4" fillId="5" borderId="13" xfId="0" applyNumberFormat="1" applyFont="1" applyFill="1" applyBorder="1" applyAlignment="1">
      <alignment vertical="center"/>
    </xf>
    <xf numFmtId="0" fontId="8" fillId="13" borderId="4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170" fontId="8" fillId="13" borderId="4" xfId="0" applyNumberFormat="1" applyFont="1" applyFill="1" applyBorder="1" applyAlignment="1">
      <alignment horizontal="center" vertical="center"/>
    </xf>
    <xf numFmtId="170" fontId="23" fillId="13" borderId="8" xfId="0" applyNumberFormat="1" applyFont="1" applyFill="1" applyBorder="1" applyAlignment="1">
      <alignment horizontal="center" vertical="center"/>
    </xf>
    <xf numFmtId="2" fontId="0" fillId="0" borderId="0" xfId="0" applyNumberFormat="1"/>
    <xf numFmtId="168" fontId="0" fillId="8" borderId="15" xfId="0" applyNumberFormat="1" applyFill="1" applyBorder="1" applyAlignment="1">
      <alignment horizontal="right" vertical="center"/>
    </xf>
    <xf numFmtId="168" fontId="0" fillId="8" borderId="15" xfId="0" applyNumberFormat="1" applyFill="1" applyBorder="1" applyAlignment="1">
      <alignment horizontal="center" vertical="center"/>
    </xf>
    <xf numFmtId="168" fontId="2" fillId="11" borderId="15" xfId="0" applyNumberFormat="1" applyFont="1" applyFill="1" applyBorder="1" applyAlignment="1">
      <alignment horizontal="right" vertical="center"/>
    </xf>
    <xf numFmtId="168" fontId="7" fillId="5" borderId="15" xfId="0" applyNumberFormat="1" applyFont="1" applyFill="1" applyBorder="1" applyAlignment="1">
      <alignment vertical="center"/>
    </xf>
    <xf numFmtId="175" fontId="0" fillId="0" borderId="0" xfId="0" applyNumberFormat="1" applyAlignment="1">
      <alignment horizontal="center" vertical="center"/>
    </xf>
    <xf numFmtId="169" fontId="4" fillId="5" borderId="5" xfId="0" applyNumberFormat="1" applyFont="1" applyFill="1" applyBorder="1" applyAlignment="1">
      <alignment vertical="center"/>
    </xf>
    <xf numFmtId="169" fontId="4" fillId="0" borderId="0" xfId="0" applyNumberFormat="1" applyFont="1" applyAlignment="1">
      <alignment vertical="center"/>
    </xf>
    <xf numFmtId="170" fontId="7" fillId="18" borderId="5" xfId="0" applyNumberFormat="1" applyFont="1" applyFill="1" applyBorder="1" applyAlignment="1">
      <alignment horizontal="left" vertical="center"/>
    </xf>
    <xf numFmtId="170" fontId="0" fillId="18" borderId="5" xfId="0" applyNumberFormat="1" applyFill="1" applyBorder="1" applyAlignment="1">
      <alignment horizontal="left" vertical="center"/>
    </xf>
    <xf numFmtId="170" fontId="29" fillId="18" borderId="5" xfId="0" applyNumberFormat="1" applyFont="1" applyFill="1" applyBorder="1" applyAlignment="1">
      <alignment horizontal="left" vertical="center"/>
    </xf>
    <xf numFmtId="168" fontId="7" fillId="13" borderId="46" xfId="0" applyNumberFormat="1" applyFont="1" applyFill="1" applyBorder="1" applyAlignment="1">
      <alignment vertical="center"/>
    </xf>
    <xf numFmtId="168" fontId="4" fillId="13" borderId="46" xfId="0" applyNumberFormat="1" applyFont="1" applyFill="1" applyBorder="1" applyAlignment="1">
      <alignment vertical="center"/>
    </xf>
    <xf numFmtId="170" fontId="7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left" vertical="center"/>
    </xf>
    <xf numFmtId="170" fontId="29" fillId="0" borderId="0" xfId="0" applyNumberFormat="1" applyFont="1" applyAlignment="1">
      <alignment horizontal="left" vertical="center"/>
    </xf>
    <xf numFmtId="167" fontId="29" fillId="0" borderId="0" xfId="0" applyNumberFormat="1" applyFont="1" applyAlignment="1">
      <alignment horizontal="left" vertical="center"/>
    </xf>
    <xf numFmtId="0" fontId="28" fillId="14" borderId="0" xfId="0" applyFont="1" applyFill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49" fontId="4" fillId="0" borderId="1" xfId="0" applyNumberFormat="1" applyFont="1" applyBorder="1"/>
    <xf numFmtId="49" fontId="1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11" fillId="0" borderId="5" xfId="0" applyNumberFormat="1" applyFont="1" applyBorder="1" applyAlignment="1">
      <alignment horizontal="left" vertical="center"/>
    </xf>
    <xf numFmtId="168" fontId="7" fillId="6" borderId="15" xfId="0" applyNumberFormat="1" applyFont="1" applyFill="1" applyBorder="1" applyAlignment="1">
      <alignment horizontal="right" vertical="center"/>
    </xf>
    <xf numFmtId="168" fontId="7" fillId="6" borderId="8" xfId="0" applyNumberFormat="1" applyFont="1" applyFill="1" applyBorder="1" applyAlignment="1">
      <alignment horizontal="right" vertical="center"/>
    </xf>
    <xf numFmtId="168" fontId="2" fillId="11" borderId="8" xfId="0" applyNumberFormat="1" applyFont="1" applyFill="1" applyBorder="1" applyAlignment="1">
      <alignment horizontal="right" vertical="center"/>
    </xf>
    <xf numFmtId="176" fontId="8" fillId="13" borderId="8" xfId="0" applyNumberFormat="1" applyFont="1" applyFill="1" applyBorder="1" applyAlignment="1">
      <alignment horizontal="center" vertical="center"/>
    </xf>
    <xf numFmtId="168" fontId="7" fillId="2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2" borderId="0" xfId="0" applyFont="1" applyFill="1" applyAlignment="1">
      <alignment horizontal="right" vertical="center"/>
    </xf>
    <xf numFmtId="168" fontId="7" fillId="22" borderId="13" xfId="0" applyNumberFormat="1" applyFont="1" applyFill="1" applyBorder="1" applyAlignment="1">
      <alignment vertical="center"/>
    </xf>
    <xf numFmtId="168" fontId="7" fillId="22" borderId="4" xfId="0" applyNumberFormat="1" applyFont="1" applyFill="1" applyBorder="1" applyAlignment="1">
      <alignment vertical="center"/>
    </xf>
    <xf numFmtId="168" fontId="4" fillId="22" borderId="4" xfId="0" applyNumberFormat="1" applyFont="1" applyFill="1" applyBorder="1" applyAlignment="1">
      <alignment vertical="center"/>
    </xf>
    <xf numFmtId="168" fontId="4" fillId="22" borderId="14" xfId="0" applyNumberFormat="1" applyFont="1" applyFill="1" applyBorder="1" applyAlignment="1">
      <alignment vertical="center"/>
    </xf>
    <xf numFmtId="168" fontId="4" fillId="22" borderId="15" xfId="0" applyNumberFormat="1" applyFont="1" applyFill="1" applyBorder="1" applyAlignment="1">
      <alignment vertical="center"/>
    </xf>
    <xf numFmtId="168" fontId="7" fillId="7" borderId="13" xfId="0" applyNumberFormat="1" applyFont="1" applyFill="1" applyBorder="1" applyAlignment="1">
      <alignment vertical="center"/>
    </xf>
    <xf numFmtId="168" fontId="7" fillId="7" borderId="4" xfId="0" applyNumberFormat="1" applyFont="1" applyFill="1" applyBorder="1" applyAlignment="1">
      <alignment vertical="center"/>
    </xf>
    <xf numFmtId="168" fontId="4" fillId="7" borderId="4" xfId="0" applyNumberFormat="1" applyFont="1" applyFill="1" applyBorder="1" applyAlignment="1">
      <alignment vertical="center"/>
    </xf>
    <xf numFmtId="168" fontId="4" fillId="7" borderId="14" xfId="0" applyNumberFormat="1" applyFont="1" applyFill="1" applyBorder="1" applyAlignment="1">
      <alignment vertical="center"/>
    </xf>
    <xf numFmtId="168" fontId="4" fillId="7" borderId="6" xfId="0" applyNumberFormat="1" applyFont="1" applyFill="1" applyBorder="1" applyAlignment="1">
      <alignment vertical="center"/>
    </xf>
    <xf numFmtId="169" fontId="4" fillId="7" borderId="4" xfId="0" applyNumberFormat="1" applyFont="1" applyFill="1" applyBorder="1" applyAlignment="1">
      <alignment vertical="center"/>
    </xf>
    <xf numFmtId="0" fontId="4" fillId="23" borderId="0" xfId="0" applyFont="1" applyFill="1" applyAlignment="1">
      <alignment horizontal="right" vertical="center"/>
    </xf>
    <xf numFmtId="168" fontId="7" fillId="23" borderId="13" xfId="0" applyNumberFormat="1" applyFont="1" applyFill="1" applyBorder="1" applyAlignment="1">
      <alignment vertical="center"/>
    </xf>
    <xf numFmtId="168" fontId="7" fillId="23" borderId="4" xfId="0" applyNumberFormat="1" applyFont="1" applyFill="1" applyBorder="1" applyAlignment="1">
      <alignment vertical="center"/>
    </xf>
    <xf numFmtId="168" fontId="4" fillId="23" borderId="4" xfId="0" applyNumberFormat="1" applyFont="1" applyFill="1" applyBorder="1" applyAlignment="1">
      <alignment vertical="center"/>
    </xf>
    <xf numFmtId="168" fontId="4" fillId="23" borderId="14" xfId="0" applyNumberFormat="1" applyFont="1" applyFill="1" applyBorder="1" applyAlignment="1">
      <alignment vertical="center"/>
    </xf>
    <xf numFmtId="168" fontId="4" fillId="23" borderId="6" xfId="0" applyNumberFormat="1" applyFont="1" applyFill="1" applyBorder="1" applyAlignment="1">
      <alignment vertical="center"/>
    </xf>
    <xf numFmtId="0" fontId="20" fillId="13" borderId="0" xfId="0" applyFont="1" applyFill="1" applyAlignment="1">
      <alignment horizontal="right" vertical="center"/>
    </xf>
    <xf numFmtId="168" fontId="2" fillId="13" borderId="13" xfId="0" applyNumberFormat="1" applyFont="1" applyFill="1" applyBorder="1" applyAlignment="1">
      <alignment vertical="center"/>
    </xf>
    <xf numFmtId="168" fontId="2" fillId="13" borderId="4" xfId="0" applyNumberFormat="1" applyFont="1" applyFill="1" applyBorder="1" applyAlignment="1">
      <alignment vertical="center"/>
    </xf>
    <xf numFmtId="168" fontId="20" fillId="13" borderId="4" xfId="0" applyNumberFormat="1" applyFont="1" applyFill="1" applyBorder="1" applyAlignment="1">
      <alignment vertical="center"/>
    </xf>
    <xf numFmtId="168" fontId="20" fillId="13" borderId="14" xfId="0" applyNumberFormat="1" applyFont="1" applyFill="1" applyBorder="1" applyAlignment="1">
      <alignment vertical="center"/>
    </xf>
    <xf numFmtId="168" fontId="20" fillId="13" borderId="6" xfId="0" applyNumberFormat="1" applyFont="1" applyFill="1" applyBorder="1" applyAlignment="1">
      <alignment vertical="center"/>
    </xf>
    <xf numFmtId="168" fontId="7" fillId="13" borderId="4" xfId="0" applyNumberFormat="1" applyFont="1" applyFill="1" applyBorder="1" applyAlignment="1">
      <alignment vertical="center"/>
    </xf>
    <xf numFmtId="0" fontId="8" fillId="22" borderId="4" xfId="0" applyFont="1" applyFill="1" applyBorder="1" applyAlignment="1">
      <alignment horizontal="center" vertical="center"/>
    </xf>
    <xf numFmtId="0" fontId="4" fillId="22" borderId="4" xfId="0" applyFont="1" applyFill="1" applyBorder="1" applyAlignment="1">
      <alignment horizontal="center" vertical="center"/>
    </xf>
    <xf numFmtId="170" fontId="8" fillId="22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0" fontId="8" fillId="7" borderId="4" xfId="0" applyNumberFormat="1" applyFont="1" applyFill="1" applyBorder="1" applyAlignment="1">
      <alignment horizontal="center" vertical="center"/>
    </xf>
    <xf numFmtId="0" fontId="7" fillId="22" borderId="4" xfId="0" applyFont="1" applyFill="1" applyBorder="1" applyAlignment="1">
      <alignment horizontal="center" vertical="center"/>
    </xf>
    <xf numFmtId="0" fontId="7" fillId="22" borderId="0" xfId="0" applyFont="1" applyFill="1"/>
    <xf numFmtId="170" fontId="8" fillId="22" borderId="8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/>
    <xf numFmtId="170" fontId="8" fillId="5" borderId="8" xfId="0" applyNumberFormat="1" applyFont="1" applyFill="1" applyBorder="1" applyAlignment="1">
      <alignment horizontal="center" vertical="center"/>
    </xf>
    <xf numFmtId="0" fontId="7" fillId="23" borderId="4" xfId="0" applyFont="1" applyFill="1" applyBorder="1" applyAlignment="1">
      <alignment horizontal="center" vertical="center"/>
    </xf>
    <xf numFmtId="0" fontId="8" fillId="23" borderId="4" xfId="0" applyFont="1" applyFill="1" applyBorder="1" applyAlignment="1">
      <alignment horizontal="center" vertical="center"/>
    </xf>
    <xf numFmtId="0" fontId="4" fillId="23" borderId="4" xfId="0" applyFont="1" applyFill="1" applyBorder="1" applyAlignment="1">
      <alignment horizontal="center" vertical="center"/>
    </xf>
    <xf numFmtId="170" fontId="8" fillId="23" borderId="4" xfId="0" applyNumberFormat="1" applyFont="1" applyFill="1" applyBorder="1" applyAlignment="1">
      <alignment horizontal="center" vertical="center"/>
    </xf>
    <xf numFmtId="170" fontId="7" fillId="23" borderId="0" xfId="0" applyNumberFormat="1" applyFont="1" applyFill="1"/>
    <xf numFmtId="170" fontId="8" fillId="23" borderId="8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0" xfId="0" applyFont="1" applyFill="1"/>
    <xf numFmtId="170" fontId="8" fillId="7" borderId="8" xfId="0" applyNumberFormat="1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/>
    </xf>
    <xf numFmtId="170" fontId="23" fillId="13" borderId="4" xfId="0" applyNumberFormat="1" applyFont="1" applyFill="1" applyBorder="1" applyAlignment="1">
      <alignment horizontal="center" vertical="center"/>
    </xf>
    <xf numFmtId="170" fontId="0" fillId="13" borderId="0" xfId="0" applyNumberFormat="1" applyFill="1"/>
    <xf numFmtId="177" fontId="23" fillId="13" borderId="8" xfId="0" applyNumberFormat="1" applyFont="1" applyFill="1" applyBorder="1" applyAlignment="1">
      <alignment horizontal="center" vertical="center"/>
    </xf>
    <xf numFmtId="0" fontId="33" fillId="18" borderId="4" xfId="0" applyFont="1" applyFill="1" applyBorder="1" applyAlignment="1">
      <alignment horizontal="center" vertical="center"/>
    </xf>
    <xf numFmtId="0" fontId="7" fillId="18" borderId="4" xfId="0" applyFont="1" applyFill="1" applyBorder="1" applyAlignment="1">
      <alignment horizontal="center" vertical="center"/>
    </xf>
    <xf numFmtId="0" fontId="34" fillId="18" borderId="4" xfId="0" applyFont="1" applyFill="1" applyBorder="1" applyAlignment="1">
      <alignment horizontal="center" vertical="center"/>
    </xf>
    <xf numFmtId="0" fontId="33" fillId="18" borderId="8" xfId="0" applyFont="1" applyFill="1" applyBorder="1" applyAlignment="1">
      <alignment horizontal="right" vertical="center"/>
    </xf>
    <xf numFmtId="0" fontId="5" fillId="18" borderId="0" xfId="0" applyFont="1" applyFill="1" applyAlignment="1">
      <alignment horizontal="left" vertical="center"/>
    </xf>
    <xf numFmtId="49" fontId="8" fillId="18" borderId="0" xfId="0" applyNumberFormat="1" applyFont="1" applyFill="1" applyAlignment="1">
      <alignment horizontal="left" vertical="center"/>
    </xf>
    <xf numFmtId="0" fontId="4" fillId="18" borderId="1" xfId="0" applyFont="1" applyFill="1" applyBorder="1" applyAlignment="1">
      <alignment vertical="center"/>
    </xf>
    <xf numFmtId="49" fontId="4" fillId="18" borderId="1" xfId="0" applyNumberFormat="1" applyFont="1" applyFill="1" applyBorder="1" applyAlignment="1">
      <alignment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center"/>
    </xf>
    <xf numFmtId="0" fontId="4" fillId="18" borderId="2" xfId="0" applyFont="1" applyFill="1" applyBorder="1" applyAlignment="1">
      <alignment vertical="center"/>
    </xf>
    <xf numFmtId="49" fontId="4" fillId="18" borderId="2" xfId="0" applyNumberFormat="1" applyFont="1" applyFill="1" applyBorder="1" applyAlignment="1">
      <alignment vertical="center"/>
    </xf>
    <xf numFmtId="49" fontId="9" fillId="18" borderId="0" xfId="0" applyNumberFormat="1" applyFont="1" applyFill="1" applyAlignment="1">
      <alignment horizontal="left" vertical="center"/>
    </xf>
    <xf numFmtId="0" fontId="3" fillId="18" borderId="0" xfId="0" applyFont="1" applyFill="1" applyAlignment="1">
      <alignment horizontal="left" vertical="center"/>
    </xf>
    <xf numFmtId="49" fontId="0" fillId="18" borderId="0" xfId="0" applyNumberFormat="1" applyFill="1" applyAlignment="1">
      <alignment horizontal="center" vertical="center"/>
    </xf>
    <xf numFmtId="0" fontId="4" fillId="18" borderId="0" xfId="0" applyFont="1" applyFill="1" applyAlignment="1">
      <alignment vertical="center"/>
    </xf>
    <xf numFmtId="49" fontId="4" fillId="18" borderId="0" xfId="0" applyNumberFormat="1" applyFont="1" applyFill="1" applyAlignment="1">
      <alignment vertical="center"/>
    </xf>
    <xf numFmtId="0" fontId="9" fillId="18" borderId="0" xfId="0" applyFont="1" applyFill="1" applyAlignment="1">
      <alignment horizontal="left" vertical="center"/>
    </xf>
    <xf numFmtId="49" fontId="0" fillId="18" borderId="0" xfId="0" applyNumberFormat="1" applyFill="1"/>
    <xf numFmtId="0" fontId="4" fillId="18" borderId="1" xfId="0" applyFont="1" applyFill="1" applyBorder="1" applyAlignment="1">
      <alignment horizontal="left" vertical="center"/>
    </xf>
    <xf numFmtId="0" fontId="7" fillId="18" borderId="0" xfId="0" applyFont="1" applyFill="1" applyAlignment="1">
      <alignment vertical="center"/>
    </xf>
    <xf numFmtId="49" fontId="7" fillId="18" borderId="0" xfId="0" applyNumberFormat="1" applyFont="1" applyFill="1" applyAlignment="1">
      <alignment vertical="center"/>
    </xf>
    <xf numFmtId="49" fontId="7" fillId="18" borderId="0" xfId="0" applyNumberFormat="1" applyFont="1" applyFill="1"/>
    <xf numFmtId="0" fontId="25" fillId="18" borderId="0" xfId="0" applyFont="1" applyFill="1" applyAlignment="1">
      <alignment horizontal="left" vertical="center"/>
    </xf>
    <xf numFmtId="49" fontId="25" fillId="18" borderId="0" xfId="0" applyNumberFormat="1" applyFont="1" applyFill="1" applyAlignment="1">
      <alignment horizontal="left" vertical="center"/>
    </xf>
    <xf numFmtId="0" fontId="0" fillId="18" borderId="0" xfId="0" applyFill="1" applyAlignment="1">
      <alignment horizontal="left" vertical="center"/>
    </xf>
    <xf numFmtId="49" fontId="0" fillId="18" borderId="0" xfId="0" applyNumberFormat="1" applyFill="1" applyAlignment="1">
      <alignment horizontal="left" vertical="center"/>
    </xf>
    <xf numFmtId="0" fontId="4" fillId="22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right" vertical="center"/>
    </xf>
    <xf numFmtId="168" fontId="7" fillId="22" borderId="13" xfId="0" applyNumberFormat="1" applyFont="1" applyFill="1" applyBorder="1" applyAlignment="1">
      <alignment horizontal="right" vertical="center"/>
    </xf>
    <xf numFmtId="168" fontId="7" fillId="22" borderId="4" xfId="0" applyNumberFormat="1" applyFont="1" applyFill="1" applyBorder="1" applyAlignment="1">
      <alignment horizontal="right" vertical="center"/>
    </xf>
    <xf numFmtId="168" fontId="4" fillId="22" borderId="4" xfId="0" applyNumberFormat="1" applyFont="1" applyFill="1" applyBorder="1" applyAlignment="1">
      <alignment horizontal="right" vertical="center"/>
    </xf>
    <xf numFmtId="168" fontId="4" fillId="22" borderId="14" xfId="0" applyNumberFormat="1" applyFont="1" applyFill="1" applyBorder="1" applyAlignment="1">
      <alignment horizontal="right" vertical="center"/>
    </xf>
    <xf numFmtId="168" fontId="4" fillId="22" borderId="2" xfId="0" applyNumberFormat="1" applyFont="1" applyFill="1" applyBorder="1" applyAlignment="1">
      <alignment horizontal="right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right" vertical="center"/>
    </xf>
    <xf numFmtId="168" fontId="7" fillId="22" borderId="8" xfId="0" applyNumberFormat="1" applyFont="1" applyFill="1" applyBorder="1" applyAlignment="1">
      <alignment horizontal="right" vertical="center"/>
    </xf>
    <xf numFmtId="168" fontId="4" fillId="22" borderId="0" xfId="0" applyNumberFormat="1" applyFont="1" applyFill="1" applyAlignment="1">
      <alignment horizontal="right" vertical="center"/>
    </xf>
    <xf numFmtId="168" fontId="7" fillId="22" borderId="0" xfId="0" applyNumberFormat="1" applyFont="1" applyFill="1" applyAlignment="1">
      <alignment horizontal="right" vertical="center"/>
    </xf>
    <xf numFmtId="168" fontId="7" fillId="22" borderId="14" xfId="0" applyNumberFormat="1" applyFont="1" applyFill="1" applyBorder="1" applyAlignment="1">
      <alignment horizontal="right" vertical="center"/>
    </xf>
    <xf numFmtId="168" fontId="7" fillId="22" borderId="15" xfId="0" applyNumberFormat="1" applyFont="1" applyFill="1" applyBorder="1" applyAlignment="1">
      <alignment horizontal="right" vertical="center"/>
    </xf>
    <xf numFmtId="168" fontId="4" fillId="23" borderId="14" xfId="0" applyNumberFormat="1" applyFont="1" applyFill="1" applyBorder="1" applyAlignment="1">
      <alignment horizontal="right" vertical="center"/>
    </xf>
    <xf numFmtId="168" fontId="4" fillId="23" borderId="16" xfId="0" applyNumberFormat="1" applyFont="1" applyFill="1" applyBorder="1" applyAlignment="1">
      <alignment horizontal="right" vertical="center"/>
    </xf>
    <xf numFmtId="168" fontId="4" fillId="23" borderId="6" xfId="0" applyNumberFormat="1" applyFont="1" applyFill="1" applyBorder="1" applyAlignment="1">
      <alignment horizontal="right" vertical="center"/>
    </xf>
    <xf numFmtId="168" fontId="7" fillId="23" borderId="17" xfId="0" applyNumberFormat="1" applyFont="1" applyFill="1" applyBorder="1" applyAlignment="1">
      <alignment vertical="center"/>
    </xf>
    <xf numFmtId="168" fontId="4" fillId="23" borderId="1" xfId="0" applyNumberFormat="1" applyFont="1" applyFill="1" applyBorder="1" applyAlignment="1">
      <alignment horizontal="center" vertical="center"/>
    </xf>
    <xf numFmtId="168" fontId="4" fillId="23" borderId="1" xfId="0" applyNumberFormat="1" applyFont="1" applyFill="1" applyBorder="1" applyAlignment="1">
      <alignment horizontal="right" vertical="center"/>
    </xf>
    <xf numFmtId="168" fontId="7" fillId="23" borderId="8" xfId="0" applyNumberFormat="1" applyFont="1" applyFill="1" applyBorder="1" applyAlignment="1">
      <alignment vertical="center"/>
    </xf>
    <xf numFmtId="4" fontId="4" fillId="23" borderId="4" xfId="0" applyNumberFormat="1" applyFont="1" applyFill="1" applyBorder="1" applyAlignment="1">
      <alignment vertical="center"/>
    </xf>
    <xf numFmtId="168" fontId="7" fillId="23" borderId="13" xfId="0" applyNumberFormat="1" applyFont="1" applyFill="1" applyBorder="1" applyAlignment="1">
      <alignment horizontal="right" vertical="center"/>
    </xf>
    <xf numFmtId="168" fontId="7" fillId="23" borderId="4" xfId="0" applyNumberFormat="1" applyFont="1" applyFill="1" applyBorder="1" applyAlignment="1">
      <alignment horizontal="right" vertical="center"/>
    </xf>
    <xf numFmtId="168" fontId="4" fillId="23" borderId="4" xfId="0" applyNumberFormat="1" applyFont="1" applyFill="1" applyBorder="1" applyAlignment="1">
      <alignment horizontal="right" vertical="center"/>
    </xf>
    <xf numFmtId="165" fontId="4" fillId="23" borderId="4" xfId="0" applyNumberFormat="1" applyFont="1" applyFill="1" applyBorder="1" applyAlignment="1">
      <alignment vertical="center"/>
    </xf>
    <xf numFmtId="168" fontId="4" fillId="7" borderId="13" xfId="0" applyNumberFormat="1" applyFont="1" applyFill="1" applyBorder="1" applyAlignment="1">
      <alignment vertical="center"/>
    </xf>
    <xf numFmtId="168" fontId="4" fillId="7" borderId="1" xfId="0" applyNumberFormat="1" applyFont="1" applyFill="1" applyBorder="1" applyAlignment="1">
      <alignment horizontal="center" vertical="center"/>
    </xf>
    <xf numFmtId="168" fontId="4" fillId="7" borderId="1" xfId="0" applyNumberFormat="1" applyFont="1" applyFill="1" applyBorder="1" applyAlignment="1">
      <alignment horizontal="right" vertical="center"/>
    </xf>
    <xf numFmtId="168" fontId="4" fillId="7" borderId="16" xfId="0" applyNumberFormat="1" applyFont="1" applyFill="1" applyBorder="1" applyAlignment="1">
      <alignment vertical="center"/>
    </xf>
    <xf numFmtId="168" fontId="4" fillId="7" borderId="17" xfId="0" applyNumberFormat="1" applyFont="1" applyFill="1" applyBorder="1" applyAlignment="1">
      <alignment vertical="center"/>
    </xf>
    <xf numFmtId="168" fontId="4" fillId="7" borderId="0" xfId="0" applyNumberFormat="1" applyFont="1" applyFill="1" applyAlignment="1">
      <alignment vertical="center"/>
    </xf>
    <xf numFmtId="168" fontId="20" fillId="13" borderId="14" xfId="0" applyNumberFormat="1" applyFont="1" applyFill="1" applyBorder="1" applyAlignment="1">
      <alignment horizontal="right" vertical="center"/>
    </xf>
    <xf numFmtId="168" fontId="20" fillId="13" borderId="16" xfId="0" applyNumberFormat="1" applyFont="1" applyFill="1" applyBorder="1" applyAlignment="1">
      <alignment horizontal="right" vertical="center"/>
    </xf>
    <xf numFmtId="168" fontId="20" fillId="13" borderId="6" xfId="0" applyNumberFormat="1" applyFont="1" applyFill="1" applyBorder="1" applyAlignment="1">
      <alignment horizontal="right" vertical="center"/>
    </xf>
    <xf numFmtId="168" fontId="2" fillId="13" borderId="17" xfId="0" applyNumberFormat="1" applyFont="1" applyFill="1" applyBorder="1" applyAlignment="1">
      <alignment vertical="center"/>
    </xf>
    <xf numFmtId="168" fontId="20" fillId="13" borderId="1" xfId="0" applyNumberFormat="1" applyFont="1" applyFill="1" applyBorder="1" applyAlignment="1">
      <alignment horizontal="center" vertical="center"/>
    </xf>
    <xf numFmtId="168" fontId="20" fillId="13" borderId="1" xfId="0" applyNumberFormat="1" applyFont="1" applyFill="1" applyBorder="1" applyAlignment="1">
      <alignment horizontal="right" vertical="center"/>
    </xf>
    <xf numFmtId="168" fontId="2" fillId="13" borderId="8" xfId="0" applyNumberFormat="1" applyFont="1" applyFill="1" applyBorder="1" applyAlignment="1">
      <alignment vertical="center"/>
    </xf>
    <xf numFmtId="4" fontId="20" fillId="13" borderId="4" xfId="0" applyNumberFormat="1" applyFont="1" applyFill="1" applyBorder="1" applyAlignment="1">
      <alignment vertical="center"/>
    </xf>
    <xf numFmtId="168" fontId="20" fillId="13" borderId="4" xfId="0" applyNumberFormat="1" applyFont="1" applyFill="1" applyBorder="1" applyAlignment="1">
      <alignment horizontal="right" vertical="center"/>
    </xf>
    <xf numFmtId="165" fontId="20" fillId="13" borderId="4" xfId="0" applyNumberFormat="1" applyFont="1" applyFill="1" applyBorder="1" applyAlignment="1">
      <alignment vertical="center"/>
    </xf>
    <xf numFmtId="168" fontId="2" fillId="13" borderId="4" xfId="0" applyNumberFormat="1" applyFont="1" applyFill="1" applyBorder="1" applyAlignment="1">
      <alignment horizontal="right" vertical="center"/>
    </xf>
    <xf numFmtId="168" fontId="2" fillId="13" borderId="13" xfId="0" applyNumberFormat="1" applyFont="1" applyFill="1" applyBorder="1" applyAlignment="1">
      <alignment horizontal="right" vertical="center"/>
    </xf>
    <xf numFmtId="0" fontId="4" fillId="18" borderId="0" xfId="0" applyFont="1" applyFill="1" applyAlignment="1">
      <alignment horizontal="left" vertical="center"/>
    </xf>
    <xf numFmtId="49" fontId="11" fillId="18" borderId="0" xfId="0" applyNumberFormat="1" applyFont="1" applyFill="1" applyAlignment="1">
      <alignment horizontal="left" vertical="center"/>
    </xf>
    <xf numFmtId="49" fontId="4" fillId="18" borderId="0" xfId="0" applyNumberFormat="1" applyFont="1" applyFill="1" applyAlignment="1">
      <alignment horizontal="left" vertical="center"/>
    </xf>
    <xf numFmtId="0" fontId="8" fillId="22" borderId="1" xfId="0" applyFont="1" applyFill="1" applyBorder="1" applyAlignment="1">
      <alignment horizontal="right" vertical="center"/>
    </xf>
    <xf numFmtId="167" fontId="0" fillId="22" borderId="13" xfId="0" applyNumberFormat="1" applyFill="1" applyBorder="1" applyAlignment="1">
      <alignment horizontal="right" vertical="center"/>
    </xf>
    <xf numFmtId="167" fontId="0" fillId="22" borderId="4" xfId="0" applyNumberFormat="1" applyFill="1" applyBorder="1" applyAlignment="1">
      <alignment horizontal="right" vertical="center"/>
    </xf>
    <xf numFmtId="168" fontId="0" fillId="22" borderId="4" xfId="0" applyNumberFormat="1" applyFill="1" applyBorder="1" applyAlignment="1">
      <alignment horizontal="right" vertical="center"/>
    </xf>
    <xf numFmtId="168" fontId="0" fillId="22" borderId="13" xfId="0" applyNumberFormat="1" applyFill="1" applyBorder="1" applyAlignment="1">
      <alignment horizontal="right" vertical="center"/>
    </xf>
    <xf numFmtId="168" fontId="0" fillId="22" borderId="14" xfId="0" applyNumberFormat="1" applyFill="1" applyBorder="1" applyAlignment="1">
      <alignment horizontal="right" vertical="center"/>
    </xf>
    <xf numFmtId="0" fontId="23" fillId="5" borderId="1" xfId="0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right" vertical="center"/>
    </xf>
    <xf numFmtId="167" fontId="2" fillId="5" borderId="13" xfId="0" applyNumberFormat="1" applyFont="1" applyFill="1" applyBorder="1" applyAlignment="1">
      <alignment horizontal="right" vertical="center"/>
    </xf>
    <xf numFmtId="167" fontId="2" fillId="5" borderId="4" xfId="0" applyNumberFormat="1" applyFont="1" applyFill="1" applyBorder="1" applyAlignment="1">
      <alignment horizontal="right" vertical="center"/>
    </xf>
    <xf numFmtId="168" fontId="2" fillId="5" borderId="4" xfId="0" applyNumberFormat="1" applyFont="1" applyFill="1" applyBorder="1" applyAlignment="1">
      <alignment horizontal="right" vertical="center"/>
    </xf>
    <xf numFmtId="168" fontId="20" fillId="5" borderId="4" xfId="0" applyNumberFormat="1" applyFont="1" applyFill="1" applyBorder="1" applyAlignment="1">
      <alignment horizontal="right" vertical="center"/>
    </xf>
    <xf numFmtId="168" fontId="20" fillId="5" borderId="14" xfId="0" applyNumberFormat="1" applyFont="1" applyFill="1" applyBorder="1" applyAlignment="1">
      <alignment horizontal="right" vertical="center"/>
    </xf>
    <xf numFmtId="168" fontId="20" fillId="5" borderId="6" xfId="0" applyNumberFormat="1" applyFont="1" applyFill="1" applyBorder="1" applyAlignment="1">
      <alignment horizontal="right" vertical="center"/>
    </xf>
    <xf numFmtId="168" fontId="2" fillId="5" borderId="13" xfId="0" applyNumberFormat="1" applyFont="1" applyFill="1" applyBorder="1" applyAlignment="1">
      <alignment horizontal="right" vertical="center"/>
    </xf>
    <xf numFmtId="168" fontId="2" fillId="28" borderId="4" xfId="0" applyNumberFormat="1" applyFont="1" applyFill="1" applyBorder="1" applyAlignment="1">
      <alignment horizontal="right" vertical="center"/>
    </xf>
    <xf numFmtId="168" fontId="2" fillId="5" borderId="14" xfId="0" applyNumberFormat="1" applyFont="1" applyFill="1" applyBorder="1" applyAlignment="1">
      <alignment horizontal="right" vertical="center"/>
    </xf>
    <xf numFmtId="0" fontId="23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right" vertical="center"/>
    </xf>
    <xf numFmtId="168" fontId="2" fillId="3" borderId="0" xfId="0" applyNumberFormat="1" applyFont="1" applyFill="1" applyBorder="1" applyAlignment="1">
      <alignment vertical="center"/>
    </xf>
    <xf numFmtId="168" fontId="20" fillId="3" borderId="0" xfId="0" applyNumberFormat="1" applyFont="1" applyFill="1" applyBorder="1" applyAlignment="1">
      <alignment vertical="center"/>
    </xf>
    <xf numFmtId="0" fontId="8" fillId="22" borderId="1" xfId="0" applyFont="1" applyFill="1" applyBorder="1" applyAlignment="1">
      <alignment horizontal="center" vertical="center"/>
    </xf>
    <xf numFmtId="168" fontId="0" fillId="22" borderId="13" xfId="0" applyNumberFormat="1" applyFill="1" applyBorder="1" applyAlignment="1">
      <alignment horizontal="center" vertical="center"/>
    </xf>
    <xf numFmtId="168" fontId="0" fillId="22" borderId="15" xfId="0" applyNumberFormat="1" applyFill="1" applyBorder="1" applyAlignment="1">
      <alignment horizontal="center" vertical="center"/>
    </xf>
    <xf numFmtId="168" fontId="0" fillId="22" borderId="4" xfId="0" applyNumberFormat="1" applyFill="1" applyBorder="1" applyAlignment="1">
      <alignment horizontal="center" vertical="center"/>
    </xf>
    <xf numFmtId="168" fontId="10" fillId="22" borderId="4" xfId="0" applyNumberFormat="1" applyFont="1" applyFill="1" applyBorder="1" applyAlignment="1">
      <alignment horizontal="center" vertical="center"/>
    </xf>
    <xf numFmtId="168" fontId="4" fillId="22" borderId="4" xfId="0" applyNumberFormat="1" applyFont="1" applyFill="1" applyBorder="1" applyAlignment="1">
      <alignment horizontal="center" vertical="center"/>
    </xf>
    <xf numFmtId="168" fontId="4" fillId="22" borderId="14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7" fillId="7" borderId="15" xfId="0" applyNumberFormat="1" applyFont="1" applyFill="1" applyBorder="1" applyAlignment="1">
      <alignment vertical="center"/>
    </xf>
    <xf numFmtId="168" fontId="4" fillId="7" borderId="8" xfId="0" applyNumberFormat="1" applyFont="1" applyFill="1" applyBorder="1" applyAlignment="1">
      <alignment vertical="center"/>
    </xf>
    <xf numFmtId="168" fontId="2" fillId="13" borderId="15" xfId="0" applyNumberFormat="1" applyFont="1" applyFill="1" applyBorder="1" applyAlignment="1">
      <alignment vertical="center"/>
    </xf>
    <xf numFmtId="168" fontId="2" fillId="13" borderId="4" xfId="0" applyNumberFormat="1" applyFont="1" applyFill="1" applyBorder="1" applyAlignment="1">
      <alignment horizontal="center" vertical="center"/>
    </xf>
    <xf numFmtId="168" fontId="20" fillId="13" borderId="8" xfId="0" applyNumberFormat="1" applyFont="1" applyFill="1" applyBorder="1" applyAlignment="1">
      <alignment vertical="center"/>
    </xf>
    <xf numFmtId="168" fontId="7" fillId="23" borderId="15" xfId="0" applyNumberFormat="1" applyFont="1" applyFill="1" applyBorder="1" applyAlignment="1">
      <alignment vertical="center"/>
    </xf>
    <xf numFmtId="168" fontId="4" fillId="23" borderId="8" xfId="0" applyNumberFormat="1" applyFont="1" applyFill="1" applyBorder="1" applyAlignment="1">
      <alignment vertical="center"/>
    </xf>
    <xf numFmtId="0" fontId="35" fillId="0" borderId="0" xfId="7"/>
    <xf numFmtId="0" fontId="35" fillId="0" borderId="0" xfId="7" applyAlignment="1">
      <alignment wrapText="1" shrinkToFit="1"/>
    </xf>
    <xf numFmtId="0" fontId="36" fillId="0" borderId="0" xfId="7" applyFont="1" applyAlignment="1">
      <alignment horizontal="center" vertical="center" wrapText="1" shrinkToFit="1"/>
    </xf>
    <xf numFmtId="174" fontId="37" fillId="2" borderId="0" xfId="7" applyNumberFormat="1" applyFont="1" applyFill="1" applyAlignment="1">
      <alignment horizontal="center" vertical="center" wrapText="1" shrinkToFit="1"/>
    </xf>
    <xf numFmtId="0" fontId="36" fillId="2" borderId="0" xfId="7" applyFont="1" applyFill="1" applyAlignment="1">
      <alignment horizontal="center" vertical="center" wrapText="1" shrinkToFit="1"/>
    </xf>
    <xf numFmtId="0" fontId="38" fillId="2" borderId="0" xfId="7" applyFont="1" applyFill="1" applyAlignment="1">
      <alignment horizontal="right" vertical="center" wrapText="1" shrinkToFit="1"/>
    </xf>
    <xf numFmtId="174" fontId="38" fillId="2" borderId="0" xfId="7" applyNumberFormat="1" applyFont="1" applyFill="1" applyAlignment="1">
      <alignment horizontal="center" vertical="center" wrapText="1" shrinkToFit="1"/>
    </xf>
    <xf numFmtId="0" fontId="38" fillId="2" borderId="0" xfId="7" applyFont="1" applyFill="1" applyAlignment="1">
      <alignment horizontal="center" vertical="center" wrapText="1" shrinkToFit="1"/>
    </xf>
    <xf numFmtId="174" fontId="39" fillId="18" borderId="0" xfId="7" applyNumberFormat="1" applyFont="1" applyFill="1" applyAlignment="1">
      <alignment horizontal="center" vertical="center" wrapText="1" shrinkToFit="1"/>
    </xf>
    <xf numFmtId="0" fontId="39" fillId="18" borderId="0" xfId="7" applyFont="1" applyFill="1" applyAlignment="1">
      <alignment horizontal="center" vertical="center" wrapText="1" shrinkToFit="1"/>
    </xf>
    <xf numFmtId="0" fontId="35" fillId="0" borderId="0" xfId="7" applyAlignment="1">
      <alignment vertical="center" wrapText="1" shrinkToFit="1"/>
    </xf>
    <xf numFmtId="0" fontId="40" fillId="25" borderId="41" xfId="7" applyFont="1" applyFill="1" applyBorder="1" applyAlignment="1">
      <alignment wrapText="1" shrinkToFit="1"/>
    </xf>
    <xf numFmtId="174" fontId="41" fillId="25" borderId="33" xfId="7" applyNumberFormat="1" applyFont="1" applyFill="1" applyBorder="1" applyAlignment="1">
      <alignment horizontal="center" vertical="center" wrapText="1" shrinkToFit="1"/>
    </xf>
    <xf numFmtId="174" fontId="41" fillId="25" borderId="33" xfId="7" applyNumberFormat="1" applyFont="1" applyFill="1" applyBorder="1" applyAlignment="1">
      <alignment vertical="center" wrapText="1" shrinkToFit="1"/>
    </xf>
    <xf numFmtId="174" fontId="42" fillId="25" borderId="33" xfId="7" applyNumberFormat="1" applyFont="1" applyFill="1" applyBorder="1"/>
    <xf numFmtId="174" fontId="41" fillId="25" borderId="29" xfId="7" applyNumberFormat="1" applyFont="1" applyFill="1" applyBorder="1" applyAlignment="1">
      <alignment horizontal="center" vertical="center" wrapText="1" shrinkToFit="1"/>
    </xf>
    <xf numFmtId="0" fontId="41" fillId="25" borderId="21" xfId="7" applyFont="1" applyFill="1" applyBorder="1" applyAlignment="1">
      <alignment horizontal="right" vertical="center" wrapText="1" shrinkToFit="1"/>
    </xf>
    <xf numFmtId="0" fontId="31" fillId="0" borderId="0" xfId="7" applyFont="1" applyAlignment="1">
      <alignment vertical="center" wrapText="1" shrinkToFit="1"/>
    </xf>
    <xf numFmtId="0" fontId="32" fillId="30" borderId="45" xfId="7" applyFont="1" applyFill="1" applyBorder="1" applyAlignment="1">
      <alignment vertical="center" wrapText="1" shrinkToFit="1"/>
    </xf>
    <xf numFmtId="174" fontId="43" fillId="30" borderId="42" xfId="7" applyNumberFormat="1" applyFont="1" applyFill="1" applyBorder="1" applyAlignment="1">
      <alignment horizontal="center" vertical="center" wrapText="1" shrinkToFit="1"/>
    </xf>
    <xf numFmtId="174" fontId="43" fillId="30" borderId="38" xfId="7" applyNumberFormat="1" applyFont="1" applyFill="1" applyBorder="1" applyAlignment="1">
      <alignment horizontal="center" vertical="center" wrapText="1" shrinkToFit="1"/>
    </xf>
    <xf numFmtId="174" fontId="43" fillId="30" borderId="35" xfId="7" applyNumberFormat="1" applyFont="1" applyFill="1" applyBorder="1" applyAlignment="1">
      <alignment horizontal="center" vertical="center" wrapText="1" shrinkToFit="1"/>
    </xf>
    <xf numFmtId="174" fontId="43" fillId="30" borderId="32" xfId="7" applyNumberFormat="1" applyFont="1" applyFill="1" applyBorder="1" applyAlignment="1">
      <alignment horizontal="center" vertical="center" wrapText="1" shrinkToFit="1"/>
    </xf>
    <xf numFmtId="0" fontId="43" fillId="30" borderId="26" xfId="7" applyFont="1" applyFill="1" applyBorder="1" applyAlignment="1">
      <alignment horizontal="center" vertical="center" wrapText="1" shrinkToFit="1"/>
    </xf>
    <xf numFmtId="174" fontId="36" fillId="30" borderId="35" xfId="7" applyNumberFormat="1" applyFont="1" applyFill="1" applyBorder="1" applyAlignment="1">
      <alignment horizontal="center" vertical="center" wrapText="1" shrinkToFit="1"/>
    </xf>
    <xf numFmtId="174" fontId="44" fillId="30" borderId="38" xfId="7" applyNumberFormat="1" applyFont="1" applyFill="1" applyBorder="1" applyAlignment="1">
      <alignment horizontal="center" vertical="center" wrapText="1" shrinkToFit="1"/>
    </xf>
    <xf numFmtId="174" fontId="43" fillId="30" borderId="6" xfId="7" applyNumberFormat="1" applyFont="1" applyFill="1" applyBorder="1" applyAlignment="1">
      <alignment horizontal="center" vertical="center" wrapText="1" shrinkToFit="1"/>
    </xf>
    <xf numFmtId="174" fontId="38" fillId="30" borderId="35" xfId="7" applyNumberFormat="1" applyFont="1" applyFill="1" applyBorder="1" applyAlignment="1">
      <alignment horizontal="center" vertical="center" wrapText="1" shrinkToFit="1"/>
    </xf>
    <xf numFmtId="0" fontId="32" fillId="30" borderId="43" xfId="7" applyFont="1" applyFill="1" applyBorder="1" applyAlignment="1">
      <alignment vertical="center" wrapText="1" shrinkToFit="1"/>
    </xf>
    <xf numFmtId="174" fontId="45" fillId="30" borderId="47" xfId="7" applyNumberFormat="1" applyFont="1" applyFill="1" applyBorder="1" applyAlignment="1">
      <alignment horizontal="center" vertical="center" wrapText="1" shrinkToFit="1"/>
    </xf>
    <xf numFmtId="174" fontId="43" fillId="30" borderId="37" xfId="7" applyNumberFormat="1" applyFont="1" applyFill="1" applyBorder="1" applyAlignment="1">
      <alignment horizontal="center" vertical="center" wrapText="1" shrinkToFit="1"/>
    </xf>
    <xf numFmtId="174" fontId="45" fillId="30" borderId="37" xfId="7" applyNumberFormat="1" applyFont="1" applyFill="1" applyBorder="1" applyAlignment="1">
      <alignment horizontal="center" vertical="center" wrapText="1" shrinkToFit="1"/>
    </xf>
    <xf numFmtId="174" fontId="43" fillId="30" borderId="34" xfId="7" applyNumberFormat="1" applyFont="1" applyFill="1" applyBorder="1" applyAlignment="1">
      <alignment horizontal="center" vertical="center" wrapText="1" shrinkToFit="1"/>
    </xf>
    <xf numFmtId="174" fontId="43" fillId="30" borderId="30" xfId="7" applyNumberFormat="1" applyFont="1" applyFill="1" applyBorder="1" applyAlignment="1">
      <alignment horizontal="center" vertical="center" wrapText="1" shrinkToFit="1"/>
    </xf>
    <xf numFmtId="0" fontId="43" fillId="30" borderId="48" xfId="7" applyFont="1" applyFill="1" applyBorder="1" applyAlignment="1">
      <alignment horizontal="center" vertical="center" wrapText="1" shrinkToFit="1"/>
    </xf>
    <xf numFmtId="0" fontId="31" fillId="0" borderId="0" xfId="7" quotePrefix="1" applyFont="1" applyAlignment="1">
      <alignment vertical="center" wrapText="1" shrinkToFit="1"/>
    </xf>
    <xf numFmtId="0" fontId="46" fillId="25" borderId="41" xfId="7" applyFont="1" applyFill="1" applyBorder="1" applyAlignment="1">
      <alignment horizontal="center" vertical="center" wrapText="1" shrinkToFit="1"/>
    </xf>
    <xf numFmtId="174" fontId="47" fillId="0" borderId="39" xfId="7" applyNumberFormat="1" applyFont="1" applyBorder="1" applyAlignment="1">
      <alignment horizontal="center" vertical="center" wrapText="1" shrinkToFit="1"/>
    </xf>
    <xf numFmtId="174" fontId="47" fillId="0" borderId="33" xfId="7" applyNumberFormat="1" applyFont="1" applyBorder="1" applyAlignment="1">
      <alignment horizontal="center" vertical="center" wrapText="1" shrinkToFit="1"/>
    </xf>
    <xf numFmtId="9" fontId="47" fillId="3" borderId="33" xfId="8" applyFont="1" applyFill="1" applyBorder="1" applyAlignment="1">
      <alignment horizontal="center" vertical="center" wrapText="1" shrinkToFit="1"/>
    </xf>
    <xf numFmtId="174" fontId="47" fillId="31" borderId="40" xfId="7" applyNumberFormat="1" applyFont="1" applyFill="1" applyBorder="1" applyAlignment="1">
      <alignment horizontal="center" vertical="center" wrapText="1" shrinkToFit="1"/>
    </xf>
    <xf numFmtId="174" fontId="47" fillId="31" borderId="39" xfId="7" applyNumberFormat="1" applyFont="1" applyFill="1" applyBorder="1" applyAlignment="1">
      <alignment horizontal="center" vertical="center" wrapText="1" shrinkToFit="1"/>
    </xf>
    <xf numFmtId="174" fontId="38" fillId="31" borderId="33" xfId="7" applyNumberFormat="1" applyFont="1" applyFill="1" applyBorder="1" applyAlignment="1">
      <alignment horizontal="center" vertical="center" wrapText="1" shrinkToFit="1"/>
    </xf>
    <xf numFmtId="174" fontId="38" fillId="0" borderId="33" xfId="7" applyNumberFormat="1" applyFont="1" applyBorder="1" applyAlignment="1">
      <alignment horizontal="center" vertical="center" wrapText="1" shrinkToFit="1"/>
    </xf>
    <xf numFmtId="174" fontId="47" fillId="3" borderId="33" xfId="7" applyNumberFormat="1" applyFont="1" applyFill="1" applyBorder="1" applyAlignment="1">
      <alignment horizontal="center" vertical="center" wrapText="1" shrinkToFit="1"/>
    </xf>
    <xf numFmtId="174" fontId="47" fillId="31" borderId="33" xfId="7" applyNumberFormat="1" applyFont="1" applyFill="1" applyBorder="1" applyAlignment="1">
      <alignment horizontal="center" vertical="center" wrapText="1" shrinkToFit="1"/>
    </xf>
    <xf numFmtId="174" fontId="38" fillId="31" borderId="40" xfId="7" applyNumberFormat="1" applyFont="1" applyFill="1" applyBorder="1" applyAlignment="1">
      <alignment horizontal="center" vertical="center" wrapText="1" shrinkToFit="1"/>
    </xf>
    <xf numFmtId="174" fontId="38" fillId="0" borderId="29" xfId="7" applyNumberFormat="1" applyFont="1" applyBorder="1" applyAlignment="1">
      <alignment horizontal="center" vertical="center" wrapText="1" shrinkToFit="1"/>
    </xf>
    <xf numFmtId="0" fontId="37" fillId="25" borderId="21" xfId="7" applyFont="1" applyFill="1" applyBorder="1" applyAlignment="1">
      <alignment horizontal="center" vertical="center" wrapText="1" shrinkToFit="1"/>
    </xf>
    <xf numFmtId="0" fontId="31" fillId="25" borderId="45" xfId="7" applyFont="1" applyFill="1" applyBorder="1" applyAlignment="1">
      <alignment horizontal="center" vertical="center" wrapText="1" shrinkToFit="1"/>
    </xf>
    <xf numFmtId="174" fontId="44" fillId="0" borderId="42" xfId="7" applyNumberFormat="1" applyFont="1" applyBorder="1" applyAlignment="1">
      <alignment horizontal="center" vertical="center" wrapText="1" shrinkToFit="1"/>
    </xf>
    <xf numFmtId="174" fontId="44" fillId="0" borderId="38" xfId="7" applyNumberFormat="1" applyFont="1" applyBorder="1" applyAlignment="1">
      <alignment horizontal="center" vertical="center" wrapText="1" shrinkToFit="1"/>
    </xf>
    <xf numFmtId="174" fontId="47" fillId="31" borderId="38" xfId="7" applyNumberFormat="1" applyFont="1" applyFill="1" applyBorder="1" applyAlignment="1">
      <alignment horizontal="center" vertical="center" wrapText="1" shrinkToFit="1"/>
    </xf>
    <xf numFmtId="174" fontId="36" fillId="31" borderId="38" xfId="7" applyNumberFormat="1" applyFont="1" applyFill="1" applyBorder="1" applyAlignment="1">
      <alignment horizontal="center" vertical="center" wrapText="1" shrinkToFit="1"/>
    </xf>
    <xf numFmtId="174" fontId="36" fillId="0" borderId="38" xfId="7" applyNumberFormat="1" applyFont="1" applyBorder="1" applyAlignment="1">
      <alignment horizontal="center" vertical="center" wrapText="1" shrinkToFit="1"/>
    </xf>
    <xf numFmtId="174" fontId="48" fillId="31" borderId="38" xfId="7" applyNumberFormat="1" applyFont="1" applyFill="1" applyBorder="1" applyAlignment="1">
      <alignment horizontal="center" vertical="center" wrapText="1" shrinkToFit="1"/>
    </xf>
    <xf numFmtId="174" fontId="36" fillId="31" borderId="35" xfId="7" applyNumberFormat="1" applyFont="1" applyFill="1" applyBorder="1" applyAlignment="1">
      <alignment horizontal="center" vertical="center" wrapText="1" shrinkToFit="1"/>
    </xf>
    <xf numFmtId="174" fontId="36" fillId="0" borderId="32" xfId="7" applyNumberFormat="1" applyFont="1" applyBorder="1" applyAlignment="1">
      <alignment horizontal="center" vertical="center" wrapText="1" shrinkToFit="1"/>
    </xf>
    <xf numFmtId="0" fontId="36" fillId="0" borderId="26" xfId="7" applyFont="1" applyBorder="1" applyAlignment="1">
      <alignment horizontal="center" vertical="center" wrapText="1" shrinkToFit="1"/>
    </xf>
    <xf numFmtId="0" fontId="31" fillId="15" borderId="44" xfId="7" applyFont="1" applyFill="1" applyBorder="1" applyAlignment="1">
      <alignment horizontal="center" vertical="center" wrapText="1" shrinkToFit="1"/>
    </xf>
    <xf numFmtId="174" fontId="44" fillId="0" borderId="17" xfId="7" applyNumberFormat="1" applyFont="1" applyBorder="1" applyAlignment="1">
      <alignment horizontal="center" vertical="center" wrapText="1" shrinkToFit="1"/>
    </xf>
    <xf numFmtId="174" fontId="44" fillId="0" borderId="6" xfId="7" applyNumberFormat="1" applyFont="1" applyBorder="1" applyAlignment="1">
      <alignment horizontal="center" vertical="center" wrapText="1" shrinkToFit="1"/>
    </xf>
    <xf numFmtId="9" fontId="38" fillId="27" borderId="37" xfId="8" applyFont="1" applyFill="1" applyBorder="1" applyAlignment="1">
      <alignment horizontal="center" vertical="center" wrapText="1" shrinkToFit="1"/>
    </xf>
    <xf numFmtId="174" fontId="36" fillId="27" borderId="6" xfId="7" applyNumberFormat="1" applyFont="1" applyFill="1" applyBorder="1" applyAlignment="1">
      <alignment horizontal="center" vertical="center" wrapText="1" shrinkToFit="1"/>
    </xf>
    <xf numFmtId="174" fontId="36" fillId="18" borderId="6" xfId="7" applyNumberFormat="1" applyFont="1" applyFill="1" applyBorder="1" applyAlignment="1">
      <alignment horizontal="center" vertical="center" wrapText="1" shrinkToFit="1"/>
    </xf>
    <xf numFmtId="174" fontId="36" fillId="0" borderId="6" xfId="7" applyNumberFormat="1" applyFont="1" applyBorder="1" applyAlignment="1">
      <alignment horizontal="center" vertical="center" wrapText="1" shrinkToFit="1"/>
    </xf>
    <xf numFmtId="174" fontId="44" fillId="3" borderId="6" xfId="7" applyNumberFormat="1" applyFont="1" applyFill="1" applyBorder="1" applyAlignment="1">
      <alignment horizontal="center" vertical="center" wrapText="1" shrinkToFit="1"/>
    </xf>
    <xf numFmtId="174" fontId="36" fillId="0" borderId="16" xfId="7" applyNumberFormat="1" applyFont="1" applyBorder="1" applyAlignment="1">
      <alignment horizontal="center" vertical="center" wrapText="1" shrinkToFit="1"/>
    </xf>
    <xf numFmtId="174" fontId="36" fillId="0" borderId="31" xfId="7" applyNumberFormat="1" applyFont="1" applyBorder="1" applyAlignment="1">
      <alignment horizontal="center" vertical="center" wrapText="1" shrinkToFit="1"/>
    </xf>
    <xf numFmtId="0" fontId="36" fillId="0" borderId="25" xfId="7" applyFont="1" applyBorder="1" applyAlignment="1">
      <alignment horizontal="center" vertical="center" wrapText="1" shrinkToFit="1"/>
    </xf>
    <xf numFmtId="0" fontId="31" fillId="26" borderId="44" xfId="7" applyFont="1" applyFill="1" applyBorder="1" applyAlignment="1">
      <alignment horizontal="center" vertical="center" wrapText="1" shrinkToFit="1"/>
    </xf>
    <xf numFmtId="0" fontId="35" fillId="19" borderId="44" xfId="7" applyFill="1" applyBorder="1" applyAlignment="1">
      <alignment horizontal="center" vertical="center" wrapText="1" shrinkToFit="1"/>
    </xf>
    <xf numFmtId="174" fontId="44" fillId="0" borderId="31" xfId="7" applyNumberFormat="1" applyFont="1" applyBorder="1" applyAlignment="1">
      <alignment horizontal="center" vertical="center" wrapText="1" shrinkToFit="1"/>
    </xf>
    <xf numFmtId="0" fontId="31" fillId="2" borderId="43" xfId="7" applyFont="1" applyFill="1" applyBorder="1" applyAlignment="1">
      <alignment horizontal="center" vertical="center" wrapText="1" shrinkToFit="1"/>
    </xf>
    <xf numFmtId="174" fontId="44" fillId="0" borderId="47" xfId="7" applyNumberFormat="1" applyFont="1" applyBorder="1" applyAlignment="1">
      <alignment horizontal="center" vertical="center" wrapText="1" shrinkToFit="1"/>
    </xf>
    <xf numFmtId="174" fontId="44" fillId="0" borderId="37" xfId="7" applyNumberFormat="1" applyFont="1" applyBorder="1" applyAlignment="1">
      <alignment horizontal="center" vertical="center" wrapText="1" shrinkToFit="1"/>
    </xf>
    <xf numFmtId="174" fontId="36" fillId="0" borderId="37" xfId="7" applyNumberFormat="1" applyFont="1" applyBorder="1" applyAlignment="1">
      <alignment horizontal="center" vertical="center" wrapText="1" shrinkToFit="1"/>
    </xf>
    <xf numFmtId="174" fontId="38" fillId="27" borderId="37" xfId="7" applyNumberFormat="1" applyFont="1" applyFill="1" applyBorder="1" applyAlignment="1">
      <alignment horizontal="center" vertical="center" wrapText="1" shrinkToFit="1"/>
    </xf>
    <xf numFmtId="174" fontId="36" fillId="18" borderId="37" xfId="7" applyNumberFormat="1" applyFont="1" applyFill="1" applyBorder="1" applyAlignment="1">
      <alignment horizontal="center" vertical="center" wrapText="1" shrinkToFit="1"/>
    </xf>
    <xf numFmtId="174" fontId="44" fillId="0" borderId="34" xfId="7" applyNumberFormat="1" applyFont="1" applyBorder="1" applyAlignment="1">
      <alignment horizontal="center" vertical="center" wrapText="1" shrinkToFit="1"/>
    </xf>
    <xf numFmtId="174" fontId="44" fillId="0" borderId="30" xfId="7" applyNumberFormat="1" applyFont="1" applyBorder="1" applyAlignment="1">
      <alignment horizontal="center" vertical="center" wrapText="1" shrinkToFit="1"/>
    </xf>
    <xf numFmtId="0" fontId="36" fillId="0" borderId="24" xfId="7" applyFont="1" applyBorder="1" applyAlignment="1">
      <alignment horizontal="center" vertical="center" wrapText="1" shrinkToFit="1"/>
    </xf>
    <xf numFmtId="0" fontId="37" fillId="0" borderId="49" xfId="7" applyFont="1" applyBorder="1" applyAlignment="1">
      <alignment horizontal="center" vertical="center" wrapText="1" shrinkToFit="1"/>
    </xf>
    <xf numFmtId="0" fontId="38" fillId="0" borderId="41" xfId="7" applyFont="1" applyBorder="1" applyAlignment="1">
      <alignment horizontal="center" vertical="center" wrapText="1" shrinkToFit="1"/>
    </xf>
    <xf numFmtId="0" fontId="45" fillId="29" borderId="39" xfId="7" applyFont="1" applyFill="1" applyBorder="1" applyAlignment="1">
      <alignment horizontal="center" vertical="center" wrapText="1" shrinkToFit="1"/>
    </xf>
    <xf numFmtId="0" fontId="38" fillId="0" borderId="33" xfId="7" applyFont="1" applyBorder="1" applyAlignment="1">
      <alignment horizontal="center" vertical="center" wrapText="1" shrinkToFit="1"/>
    </xf>
    <xf numFmtId="0" fontId="38" fillId="24" borderId="33" xfId="7" applyFont="1" applyFill="1" applyBorder="1" applyAlignment="1">
      <alignment horizontal="center" vertical="center" wrapText="1" shrinkToFit="1"/>
    </xf>
    <xf numFmtId="0" fontId="38" fillId="21" borderId="33" xfId="7" applyFont="1" applyFill="1" applyBorder="1" applyAlignment="1">
      <alignment horizontal="center" vertical="center" wrapText="1" shrinkToFit="1"/>
    </xf>
    <xf numFmtId="0" fontId="38" fillId="8" borderId="33" xfId="7" applyFont="1" applyFill="1" applyBorder="1" applyAlignment="1">
      <alignment horizontal="center" vertical="center" wrapText="1" shrinkToFit="1"/>
    </xf>
    <xf numFmtId="0" fontId="38" fillId="0" borderId="29" xfId="7" applyFont="1" applyBorder="1" applyAlignment="1">
      <alignment horizontal="center" vertical="center" wrapText="1" shrinkToFit="1"/>
    </xf>
    <xf numFmtId="0" fontId="20" fillId="13" borderId="4" xfId="0" applyFont="1" applyFill="1" applyBorder="1" applyAlignment="1">
      <alignment horizontal="center" vertical="center"/>
    </xf>
    <xf numFmtId="0" fontId="20" fillId="13" borderId="19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4" fillId="22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3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8" fillId="2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168" fontId="7" fillId="3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7" fillId="23" borderId="0" xfId="0" applyFont="1" applyFill="1" applyAlignment="1">
      <alignment horizontal="center" vertical="center"/>
    </xf>
    <xf numFmtId="0" fontId="7" fillId="23" borderId="3" xfId="0" applyFont="1" applyFill="1" applyBorder="1" applyAlignment="1">
      <alignment horizontal="center" vertical="center"/>
    </xf>
    <xf numFmtId="0" fontId="7" fillId="23" borderId="18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22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 wrapText="1"/>
    </xf>
    <xf numFmtId="0" fontId="11" fillId="22" borderId="0" xfId="0" applyFont="1" applyFill="1" applyAlignment="1">
      <alignment horizontal="center" vertical="center" wrapText="1"/>
    </xf>
    <xf numFmtId="0" fontId="23" fillId="11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7" applyFont="1" applyBorder="1" applyAlignment="1">
      <alignment horizontal="center" vertical="center"/>
    </xf>
    <xf numFmtId="0" fontId="1" fillId="0" borderId="27" xfId="7" applyFont="1" applyBorder="1" applyAlignment="1">
      <alignment horizontal="center" vertical="center"/>
    </xf>
    <xf numFmtId="0" fontId="1" fillId="0" borderId="36" xfId="7" applyFont="1" applyBorder="1" applyAlignment="1">
      <alignment horizontal="center" vertical="center"/>
    </xf>
    <xf numFmtId="0" fontId="47" fillId="0" borderId="22" xfId="7" applyFont="1" applyBorder="1" applyAlignment="1">
      <alignment horizontal="center" vertical="center"/>
    </xf>
    <xf numFmtId="0" fontId="47" fillId="0" borderId="23" xfId="7" applyFont="1" applyBorder="1" applyAlignment="1">
      <alignment horizontal="center" vertical="center"/>
    </xf>
    <xf numFmtId="0" fontId="45" fillId="25" borderId="28" xfId="7" applyFont="1" applyFill="1" applyBorder="1" applyAlignment="1">
      <alignment horizontal="center" vertical="center"/>
    </xf>
    <xf numFmtId="0" fontId="45" fillId="25" borderId="0" xfId="7" applyFont="1" applyFill="1" applyAlignment="1">
      <alignment horizontal="center" vertical="center"/>
    </xf>
    <xf numFmtId="0" fontId="38" fillId="23" borderId="33" xfId="7" applyFont="1" applyFill="1" applyBorder="1" applyAlignment="1">
      <alignment horizontal="center" vertical="center" wrapText="1" shrinkToFit="1"/>
    </xf>
    <xf numFmtId="0" fontId="38" fillId="21" borderId="33" xfId="7" applyFont="1" applyFill="1" applyBorder="1" applyAlignment="1">
      <alignment horizontal="center" vertical="center" wrapText="1" shrinkToFit="1"/>
    </xf>
    <xf numFmtId="174" fontId="36" fillId="20" borderId="37" xfId="7" applyNumberFormat="1" applyFont="1" applyFill="1" applyBorder="1" applyAlignment="1">
      <alignment horizontal="center" vertical="center" wrapText="1" shrinkToFit="1"/>
    </xf>
    <xf numFmtId="174" fontId="38" fillId="27" borderId="37" xfId="7" applyNumberFormat="1" applyFont="1" applyFill="1" applyBorder="1" applyAlignment="1">
      <alignment horizontal="center" vertical="center" wrapText="1" shrinkToFit="1"/>
    </xf>
    <xf numFmtId="174" fontId="36" fillId="20" borderId="6" xfId="7" applyNumberFormat="1" applyFont="1" applyFill="1" applyBorder="1" applyAlignment="1">
      <alignment horizontal="center" vertical="center" wrapText="1" shrinkToFit="1"/>
    </xf>
    <xf numFmtId="174" fontId="38" fillId="27" borderId="6" xfId="7" applyNumberFormat="1" applyFont="1" applyFill="1" applyBorder="1" applyAlignment="1">
      <alignment horizontal="center" vertical="center" wrapText="1" shrinkToFit="1"/>
    </xf>
    <xf numFmtId="174" fontId="47" fillId="27" borderId="6" xfId="7" applyNumberFormat="1" applyFont="1" applyFill="1" applyBorder="1" applyAlignment="1">
      <alignment horizontal="center" vertical="center" wrapText="1" shrinkToFit="1"/>
    </xf>
    <xf numFmtId="174" fontId="36" fillId="32" borderId="42" xfId="7" applyNumberFormat="1" applyFont="1" applyFill="1" applyBorder="1" applyAlignment="1">
      <alignment horizontal="center" vertical="center" wrapText="1" shrinkToFit="1"/>
    </xf>
    <xf numFmtId="174" fontId="36" fillId="32" borderId="35" xfId="7" applyNumberFormat="1" applyFont="1" applyFill="1" applyBorder="1" applyAlignment="1">
      <alignment horizontal="center" vertical="center" wrapText="1" shrinkToFit="1"/>
    </xf>
    <xf numFmtId="174" fontId="47" fillId="31" borderId="42" xfId="7" applyNumberFormat="1" applyFont="1" applyFill="1" applyBorder="1" applyAlignment="1">
      <alignment horizontal="center" vertical="center" wrapText="1" shrinkToFit="1"/>
    </xf>
    <xf numFmtId="174" fontId="47" fillId="31" borderId="35" xfId="7" applyNumberFormat="1" applyFont="1" applyFill="1" applyBorder="1" applyAlignment="1">
      <alignment horizontal="center" vertical="center" wrapText="1" shrinkToFit="1"/>
    </xf>
    <xf numFmtId="174" fontId="38" fillId="20" borderId="39" xfId="7" applyNumberFormat="1" applyFont="1" applyFill="1" applyBorder="1" applyAlignment="1">
      <alignment horizontal="center" vertical="center" wrapText="1" shrinkToFit="1"/>
    </xf>
    <xf numFmtId="174" fontId="38" fillId="20" borderId="40" xfId="7" applyNumberFormat="1" applyFont="1" applyFill="1" applyBorder="1" applyAlignment="1">
      <alignment horizontal="center" vertical="center" wrapText="1" shrinkToFit="1"/>
    </xf>
    <xf numFmtId="174" fontId="43" fillId="30" borderId="42" xfId="7" applyNumberFormat="1" applyFont="1" applyFill="1" applyBorder="1" applyAlignment="1">
      <alignment horizontal="center" vertical="center" wrapText="1" shrinkToFit="1"/>
    </xf>
    <xf numFmtId="174" fontId="43" fillId="30" borderId="35" xfId="7" applyNumberFormat="1" applyFont="1" applyFill="1" applyBorder="1" applyAlignment="1">
      <alignment horizontal="center" vertical="center" wrapText="1" shrinkToFit="1"/>
    </xf>
    <xf numFmtId="174" fontId="41" fillId="25" borderId="33" xfId="7" applyNumberFormat="1" applyFont="1" applyFill="1" applyBorder="1" applyAlignment="1">
      <alignment horizontal="center" vertical="center" wrapText="1" shrinkToFit="1"/>
    </xf>
    <xf numFmtId="174" fontId="43" fillId="30" borderId="37" xfId="7" applyNumberFormat="1" applyFont="1" applyFill="1" applyBorder="1" applyAlignment="1">
      <alignment horizontal="center" vertical="center" wrapText="1" shrinkToFit="1"/>
    </xf>
    <xf numFmtId="174" fontId="43" fillId="30" borderId="17" xfId="7" applyNumberFormat="1" applyFont="1" applyFill="1" applyBorder="1" applyAlignment="1">
      <alignment horizontal="center" vertical="center" wrapText="1" shrinkToFit="1"/>
    </xf>
    <xf numFmtId="174" fontId="43" fillId="30" borderId="16" xfId="7" applyNumberFormat="1" applyFont="1" applyFill="1" applyBorder="1" applyAlignment="1">
      <alignment horizontal="center" vertical="center" wrapText="1" shrinkToFit="1"/>
    </xf>
  </cellXfs>
  <cellStyles count="10">
    <cellStyle name="Comma 2" xfId="6"/>
    <cellStyle name="Milliers 2" xfId="1"/>
    <cellStyle name="Milliers 3" xfId="3"/>
    <cellStyle name="Milliers 4" xfId="2"/>
    <cellStyle name="Normal" xfId="0" builtinId="0"/>
    <cellStyle name="Normal 2" xfId="4"/>
    <cellStyle name="Normal 2 2" xfId="5"/>
    <cellStyle name="Normal 3" xfId="7"/>
    <cellStyle name="Pourcentage 2" xfId="8"/>
    <cellStyle name="Pourcentage 2 2" xfId="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Global!$B$6</c:f>
              <c:strCache>
                <c:ptCount val="1"/>
                <c:pt idx="0">
                  <c:v>ressources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(Global!$V$3,Global!$AI$3,Global!$AP$3,Global!$AW$3,Global!$BK$3)</c:f>
              <c:strCache>
                <c:ptCount val="5"/>
                <c:pt idx="0">
                  <c:v>réalisé 2020</c:v>
                </c:pt>
                <c:pt idx="1">
                  <c:v>réalisé 2021</c:v>
                </c:pt>
                <c:pt idx="2">
                  <c:v>budget 2022</c:v>
                </c:pt>
                <c:pt idx="3">
                  <c:v>réalisé 2022</c:v>
                </c:pt>
                <c:pt idx="4">
                  <c:v>budget 2023</c:v>
                </c:pt>
              </c:strCache>
            </c:strRef>
          </c:cat>
          <c:val>
            <c:numRef>
              <c:f>(Global!$K$6,Global!$P$6,Global!$T$6,Global!$AE$6,Global!$AL$6)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C-4D9D-BB83-13A30CE1A445}"/>
            </c:ext>
          </c:extLst>
        </c:ser>
        <c:ser>
          <c:idx val="1"/>
          <c:order val="1"/>
          <c:tx>
            <c:strRef>
              <c:f>Global!$B$7</c:f>
              <c:strCache>
                <c:ptCount val="1"/>
                <c:pt idx="0">
                  <c:v>pôles &amp; actions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(Global!$V$3,Global!$AI$3,Global!$AP$3,Global!$AW$3,Global!$BK$3)</c:f>
              <c:strCache>
                <c:ptCount val="5"/>
                <c:pt idx="0">
                  <c:v>réalisé 2020</c:v>
                </c:pt>
                <c:pt idx="1">
                  <c:v>réalisé 2021</c:v>
                </c:pt>
                <c:pt idx="2">
                  <c:v>budget 2022</c:v>
                </c:pt>
                <c:pt idx="3">
                  <c:v>réalisé 2022</c:v>
                </c:pt>
                <c:pt idx="4">
                  <c:v>budget 2023</c:v>
                </c:pt>
              </c:strCache>
            </c:strRef>
          </c:cat>
          <c:val>
            <c:numRef>
              <c:f>(Global!$K$7,Global!$P$7,Global!$T$7,Global!$AE$7,Global!$AL$7)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C-4D9D-BB83-13A30CE1A445}"/>
            </c:ext>
          </c:extLst>
        </c:ser>
        <c:ser>
          <c:idx val="2"/>
          <c:order val="2"/>
          <c:tx>
            <c:strRef>
              <c:f>Global!$B$8</c:f>
              <c:strCache>
                <c:ptCount val="1"/>
                <c:pt idx="0">
                  <c:v>instances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(Global!$V$3,Global!$AI$3,Global!$AP$3,Global!$AW$3,Global!$BK$3)</c:f>
              <c:strCache>
                <c:ptCount val="5"/>
                <c:pt idx="0">
                  <c:v>réalisé 2020</c:v>
                </c:pt>
                <c:pt idx="1">
                  <c:v>réalisé 2021</c:v>
                </c:pt>
                <c:pt idx="2">
                  <c:v>budget 2022</c:v>
                </c:pt>
                <c:pt idx="3">
                  <c:v>réalisé 2022</c:v>
                </c:pt>
                <c:pt idx="4">
                  <c:v>budget 2023</c:v>
                </c:pt>
              </c:strCache>
            </c:strRef>
          </c:cat>
          <c:val>
            <c:numRef>
              <c:f>(Global!$K$8,Global!$P$8,Global!$T$8,Global!$AE$8,Global!$AL$8)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BC-4D9D-BB83-13A30CE1A445}"/>
            </c:ext>
          </c:extLst>
        </c:ser>
        <c:ser>
          <c:idx val="3"/>
          <c:order val="3"/>
          <c:tx>
            <c:strRef>
              <c:f>Global!$B$9</c:f>
              <c:strCache>
                <c:ptCount val="1"/>
                <c:pt idx="0">
                  <c:v>fonctionnement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(Global!$V$3,Global!$AI$3,Global!$AP$3,Global!$AW$3,Global!$BK$3)</c:f>
              <c:strCache>
                <c:ptCount val="5"/>
                <c:pt idx="0">
                  <c:v>réalisé 2020</c:v>
                </c:pt>
                <c:pt idx="1">
                  <c:v>réalisé 2021</c:v>
                </c:pt>
                <c:pt idx="2">
                  <c:v>budget 2022</c:v>
                </c:pt>
                <c:pt idx="3">
                  <c:v>réalisé 2022</c:v>
                </c:pt>
                <c:pt idx="4">
                  <c:v>budget 2023</c:v>
                </c:pt>
              </c:strCache>
            </c:strRef>
          </c:cat>
          <c:val>
            <c:numRef>
              <c:f>(Global!$K$9,Global!$P$9,Global!$T$9,Global!$AE$9,Global!$AL$9)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4BC-4D9D-BB83-13A30CE1A445}"/>
            </c:ext>
          </c:extLst>
        </c:ser>
        <c:ser>
          <c:idx val="4"/>
          <c:order val="4"/>
          <c:tx>
            <c:strRef>
              <c:f>Global!$B$9</c:f>
              <c:strCache>
                <c:ptCount val="1"/>
                <c:pt idx="0">
                  <c:v>fonctionnement</c:v>
                </c:pt>
              </c:strCache>
            </c:strRef>
          </c:tx>
          <c:invertIfNegative val="0"/>
          <c:cat>
            <c:strRef>
              <c:f>(Global!$V$3,Global!$AI$3,Global!$AP$3,Global!$AW$3,Global!$BK$3)</c:f>
              <c:strCache>
                <c:ptCount val="5"/>
                <c:pt idx="0">
                  <c:v>réalisé 2020</c:v>
                </c:pt>
                <c:pt idx="1">
                  <c:v>réalisé 2021</c:v>
                </c:pt>
                <c:pt idx="2">
                  <c:v>budget 2022</c:v>
                </c:pt>
                <c:pt idx="3">
                  <c:v>réalisé 2022</c:v>
                </c:pt>
                <c:pt idx="4">
                  <c:v>budget 2023</c:v>
                </c:pt>
              </c:strCache>
            </c:strRef>
          </c:cat>
          <c:val>
            <c:numRef>
              <c:f>(Global!$X$9,Global!$AK$9,Global!$AR$9,Global!$AY$9,Global!$BM$9)</c:f>
              <c:numCache>
                <c:formatCode>_-* #,##0.0\ _€_-;\-* #,##0.0\ _€_-;_-* "-"?\ _€_-;_-@_-</c:formatCode>
                <c:ptCount val="5"/>
                <c:pt idx="0">
                  <c:v>-314.64367000000004</c:v>
                </c:pt>
                <c:pt idx="1">
                  <c:v>-299.91320999999999</c:v>
                </c:pt>
                <c:pt idx="2">
                  <c:v>-313.64299999999997</c:v>
                </c:pt>
                <c:pt idx="3">
                  <c:v>-319.34741000000002</c:v>
                </c:pt>
                <c:pt idx="4">
                  <c:v>-342.2</c:v>
                </c:pt>
              </c:numCache>
            </c:numRef>
          </c:val>
        </c:ser>
        <c:ser>
          <c:idx val="5"/>
          <c:order val="5"/>
          <c:tx>
            <c:strRef>
              <c:f>Global!$B$8</c:f>
              <c:strCache>
                <c:ptCount val="1"/>
                <c:pt idx="0">
                  <c:v>instances</c:v>
                </c:pt>
              </c:strCache>
            </c:strRef>
          </c:tx>
          <c:invertIfNegative val="0"/>
          <c:val>
            <c:numRef>
              <c:f>(Global!$X$8,Global!$AK$8,Global!$AR$8,Global!$AY$8,Global!$BM$8)</c:f>
              <c:numCache>
                <c:formatCode>_-* #,##0.0\ _€_-;\-* #,##0.0\ _€_-;_-* "-"?\ _€_-;_-@_-</c:formatCode>
                <c:ptCount val="5"/>
                <c:pt idx="0">
                  <c:v>-24.43638</c:v>
                </c:pt>
                <c:pt idx="1">
                  <c:v>-36.186070000000001</c:v>
                </c:pt>
                <c:pt idx="2">
                  <c:v>-67.5</c:v>
                </c:pt>
                <c:pt idx="3">
                  <c:v>-53.352039999999988</c:v>
                </c:pt>
                <c:pt idx="4">
                  <c:v>-69.8</c:v>
                </c:pt>
              </c:numCache>
            </c:numRef>
          </c:val>
        </c:ser>
        <c:ser>
          <c:idx val="6"/>
          <c:order val="6"/>
          <c:tx>
            <c:strRef>
              <c:f>Global!$B$7</c:f>
              <c:strCache>
                <c:ptCount val="1"/>
                <c:pt idx="0">
                  <c:v>pôles &amp; actions</c:v>
                </c:pt>
              </c:strCache>
            </c:strRef>
          </c:tx>
          <c:invertIfNegative val="0"/>
          <c:val>
            <c:numRef>
              <c:f>(Global!$X$7,Global!$AK$7,Global!$AR$7,Global!$AY$7,Global!$BM$7)</c:f>
              <c:numCache>
                <c:formatCode>_-* #,##0.0\ _€_-;\-* #,##0.0\ _€_-;_-* "-"?\ _€_-;_-@_-</c:formatCode>
                <c:ptCount val="5"/>
                <c:pt idx="0">
                  <c:v>-177.4836</c:v>
                </c:pt>
                <c:pt idx="1">
                  <c:v>-119.99637999999999</c:v>
                </c:pt>
                <c:pt idx="2">
                  <c:v>-267.25599999999963</c:v>
                </c:pt>
                <c:pt idx="3">
                  <c:v>-200.12772999999981</c:v>
                </c:pt>
                <c:pt idx="4">
                  <c:v>-270.78700000000003</c:v>
                </c:pt>
              </c:numCache>
            </c:numRef>
          </c:val>
        </c:ser>
        <c:ser>
          <c:idx val="7"/>
          <c:order val="7"/>
          <c:tx>
            <c:strRef>
              <c:f>Global!$B$6</c:f>
              <c:strCache>
                <c:ptCount val="1"/>
                <c:pt idx="0">
                  <c:v>ressources</c:v>
                </c:pt>
              </c:strCache>
            </c:strRef>
          </c:tx>
          <c:invertIfNegative val="0"/>
          <c:val>
            <c:numRef>
              <c:f>(Global!$X$6,Global!$AK$6,Global!$AR$6,Global!$AY$6,Global!$BM$6)</c:f>
              <c:numCache>
                <c:formatCode>_-* #,##0.0\ _€_-;\-* #,##0.0\ _€_-;_-* "-"?\ _€_-;_-@_-</c:formatCode>
                <c:ptCount val="5"/>
                <c:pt idx="0">
                  <c:v>578.16117000000008</c:v>
                </c:pt>
                <c:pt idx="1">
                  <c:v>586.41162000000008</c:v>
                </c:pt>
                <c:pt idx="2">
                  <c:v>648.43999999999994</c:v>
                </c:pt>
                <c:pt idx="3">
                  <c:v>660.83820000000003</c:v>
                </c:pt>
                <c:pt idx="4">
                  <c:v>682.79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296198144"/>
        <c:axId val="296200064"/>
      </c:barChart>
      <c:catAx>
        <c:axId val="2961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6200064"/>
        <c:crosses val="autoZero"/>
        <c:auto val="1"/>
        <c:lblAlgn val="ctr"/>
        <c:lblOffset val="100"/>
        <c:noMultiLvlLbl val="0"/>
      </c:catAx>
      <c:valAx>
        <c:axId val="296200064"/>
        <c:scaling>
          <c:orientation val="minMax"/>
        </c:scaling>
        <c:delete val="1"/>
        <c:axPos val="l"/>
        <c:numFmt formatCode="_-* #,##0.0\ _€_-;\-* #,##0.0\ _€_-;_-* &quot;-&quot;?\ _€_-;_-@_-" sourceLinked="1"/>
        <c:majorTickMark val="none"/>
        <c:minorTickMark val="none"/>
        <c:tickLblPos val="nextTo"/>
        <c:crossAx val="296198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Global!$B$3</c:f>
              <c:strCache>
                <c:ptCount val="1"/>
                <c:pt idx="0">
                  <c:v>Synthèse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(Global!$V$3,Global!$AI$3,Global!$AW$3)</c:f>
              <c:strCache>
                <c:ptCount val="3"/>
                <c:pt idx="0">
                  <c:v>réalisé 2020</c:v>
                </c:pt>
                <c:pt idx="1">
                  <c:v>réalisé 2021</c:v>
                </c:pt>
                <c:pt idx="2">
                  <c:v>réalisé 2022</c:v>
                </c:pt>
              </c:strCache>
            </c:strRef>
          </c:cat>
          <c:val>
            <c:numRef>
              <c:f>Global!$C$3:$F$3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CE-477F-A37D-3F238DF9A3EF}"/>
            </c:ext>
          </c:extLst>
        </c:ser>
        <c:ser>
          <c:idx val="1"/>
          <c:order val="1"/>
          <c:tx>
            <c:v>Résultat</c:v>
          </c:tx>
          <c:cat>
            <c:strRef>
              <c:f>(Global!$V$3,Global!$AI$3,Global!$AW$3)</c:f>
              <c:strCache>
                <c:ptCount val="3"/>
                <c:pt idx="0">
                  <c:v>réalisé 2020</c:v>
                </c:pt>
                <c:pt idx="1">
                  <c:v>réalisé 2021</c:v>
                </c:pt>
                <c:pt idx="2">
                  <c:v>réalisé 2022</c:v>
                </c:pt>
              </c:strCache>
            </c:strRef>
          </c:cat>
          <c:val>
            <c:numRef>
              <c:f>(Global!$X$11,Global!$AK$11,Global!$AY$11)</c:f>
              <c:numCache>
                <c:formatCode>_-* #,##0.0\ _€_-;\-* #,##0.0\ _€_-;_-* "-"?\ _€_-;_-@_-</c:formatCode>
                <c:ptCount val="3"/>
                <c:pt idx="0">
                  <c:v>61.597520000000031</c:v>
                </c:pt>
                <c:pt idx="1">
                  <c:v>130.31596000000008</c:v>
                </c:pt>
                <c:pt idx="2">
                  <c:v>88.011020000000201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23008"/>
        <c:axId val="140524544"/>
      </c:lineChart>
      <c:catAx>
        <c:axId val="14052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524544"/>
        <c:crosses val="autoZero"/>
        <c:auto val="1"/>
        <c:lblAlgn val="ctr"/>
        <c:lblOffset val="100"/>
        <c:noMultiLvlLbl val="0"/>
      </c:catAx>
      <c:valAx>
        <c:axId val="14052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_-* #,##0.0\ _€_-;\-* #,##0.0\ _€_-;_-* &quot;-&quot;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523008"/>
        <c:crosses val="autoZero"/>
        <c:crossBetween val="between"/>
      </c:valAx>
      <c:dTable>
        <c:showHorzBorder val="0"/>
        <c:showVertBorder val="0"/>
        <c:showOutline val="0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ressources!$B$37</c:f>
              <c:strCache>
                <c:ptCount val="1"/>
                <c:pt idx="0">
                  <c:v>Cotisations et autres</c:v>
                </c:pt>
              </c:strCache>
            </c:strRef>
          </c:tx>
          <c:spPr>
            <a:solidFill>
              <a:srgbClr val="CCDB3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ressources!$C$36:$AD$36</c:f>
              <c:strCache>
                <c:ptCount val="4"/>
                <c:pt idx="3">
                  <c:v>réalisé 2020</c:v>
                </c:pt>
              </c:strCache>
            </c:strRef>
          </c:cat>
          <c:val>
            <c:numRef>
              <c:f>ressources!$C$37:$AD$37</c:f>
              <c:numCache>
                <c:formatCode>General</c:formatCode>
                <c:ptCount val="5"/>
                <c:pt idx="3" formatCode="#,##0.0_);\(#,##0.0\);&quot; - &quot;_);@_)">
                  <c:v>293.56255000000004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9F-41EE-8ED8-939803640F05}"/>
            </c:ext>
          </c:extLst>
        </c:ser>
        <c:ser>
          <c:idx val="1"/>
          <c:order val="1"/>
          <c:tx>
            <c:strRef>
              <c:f>ressources!$B$38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ressources!$C$36:$AD$36</c:f>
              <c:strCache>
                <c:ptCount val="4"/>
                <c:pt idx="3">
                  <c:v>réalisé 2020</c:v>
                </c:pt>
              </c:strCache>
            </c:strRef>
          </c:cat>
          <c:val>
            <c:numRef>
              <c:f>ressources!$C$38:$AD$38</c:f>
              <c:numCache>
                <c:formatCode>General</c:formatCode>
                <c:ptCount val="5"/>
                <c:pt idx="3" formatCode="#,##0.0_);\(#,##0.0\);&quot; - &quot;_);@_)">
                  <c:v>278.97800000000001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9F-41EE-8ED8-939803640F05}"/>
            </c:ext>
          </c:extLst>
        </c:ser>
        <c:ser>
          <c:idx val="2"/>
          <c:order val="2"/>
          <c:tx>
            <c:strRef>
              <c:f>ressources!$B$39</c:f>
              <c:strCache>
                <c:ptCount val="1"/>
                <c:pt idx="0">
                  <c:v>Autres recettes diverses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ressources!$C$36:$AD$36</c:f>
              <c:strCache>
                <c:ptCount val="4"/>
                <c:pt idx="3">
                  <c:v>réalisé 2020</c:v>
                </c:pt>
              </c:strCache>
            </c:strRef>
          </c:cat>
          <c:val>
            <c:numRef>
              <c:f>ressources!$C$39:$AD$39</c:f>
              <c:numCache>
                <c:formatCode>General</c:formatCode>
                <c:ptCount val="5"/>
                <c:pt idx="3" formatCode="#,##0.0_);\(#,##0.0\);&quot; - &quot;_);@_)">
                  <c:v>5.6206199999999988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9F-41EE-8ED8-939803640F05}"/>
            </c:ext>
          </c:extLst>
        </c:ser>
        <c:ser>
          <c:idx val="3"/>
          <c:order val="3"/>
          <c:tx>
            <c:strRef>
              <c:f>ressources!$B$40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ressources!$C$36:$AD$36</c:f>
              <c:strCache>
                <c:ptCount val="4"/>
                <c:pt idx="3">
                  <c:v>réalisé 2020</c:v>
                </c:pt>
              </c:strCache>
            </c:strRef>
          </c:cat>
          <c:val>
            <c:numRef>
              <c:f>ressources!$C$40:$AD$40</c:f>
              <c:numCache>
                <c:formatCode>General</c:formatCode>
                <c:ptCount val="5"/>
                <c:pt idx="3" formatCode="#,##0.0_);\(#,##0.0\);&quot; - &quot;_);@_)">
                  <c:v>578.16117000000008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39F-41EE-8ED8-939803640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9556480"/>
        <c:axId val="49562368"/>
      </c:barChart>
      <c:catAx>
        <c:axId val="4955648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62368"/>
        <c:crosses val="autoZero"/>
        <c:auto val="1"/>
        <c:lblAlgn val="ctr"/>
        <c:lblOffset val="100"/>
        <c:noMultiLvlLbl val="0"/>
      </c:catAx>
      <c:valAx>
        <c:axId val="49562368"/>
        <c:scaling>
          <c:orientation val="minMax"/>
          <c:max val="620"/>
          <c:min val="0"/>
        </c:scaling>
        <c:delete val="1"/>
        <c:axPos val="l"/>
        <c:numFmt formatCode="@" sourceLinked="1"/>
        <c:majorTickMark val="out"/>
        <c:minorTickMark val="none"/>
        <c:tickLblPos val="nextTo"/>
        <c:crossAx val="4955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422585873943227E-2"/>
          <c:y val="6.4627452842950628E-2"/>
          <c:w val="0.96665388434289068"/>
          <c:h val="0.750428199281549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'pôles &amp; actions'!$B$201</c:f>
              <c:strCache>
                <c:ptCount val="1"/>
                <c:pt idx="0">
                  <c:v>Santé secours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'pôles &amp; actions'!$C$201:$AD$201</c:f>
              <c:numCache>
                <c:formatCode>General</c:formatCode>
                <c:ptCount val="5"/>
                <c:pt idx="3" formatCode="#,##0.0_);\(#,##0.0\);&quot; - &quot;_);@_)">
                  <c:v>-27.052630000000001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('pôles &amp; actions'!$J$197,'pôles &amp; actions'!$O$197,'pôles &amp; actions'!#REF!,'pôles &amp; actions'!$AC$197)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B14-456B-AD6A-42915DAA7742}"/>
            </c:ext>
          </c:extLst>
        </c:ser>
        <c:ser>
          <c:idx val="1"/>
          <c:order val="1"/>
          <c:tx>
            <c:strRef>
              <c:f>'pôles &amp; actions'!$B$202</c:f>
              <c:strCache>
                <c:ptCount val="1"/>
                <c:pt idx="0">
                  <c:v>Enseignement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'pôles &amp; actions'!$C$202:$AD$202</c:f>
              <c:numCache>
                <c:formatCode>General</c:formatCode>
                <c:ptCount val="5"/>
                <c:pt idx="3" formatCode="#,##0.0_);\(#,##0.0\);&quot; - &quot;_);@_)">
                  <c:v>-34.565539999999999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('pôles &amp; actions'!$J$197,'pôles &amp; actions'!$O$197,'pôles &amp; actions'!#REF!,'pôles &amp; actions'!$AC$197)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B14-456B-AD6A-42915DAA7742}"/>
            </c:ext>
          </c:extLst>
        </c:ser>
        <c:ser>
          <c:idx val="2"/>
          <c:order val="2"/>
          <c:tx>
            <c:strRef>
              <c:f>'pôles &amp; actions'!$B$203</c:f>
              <c:strCache>
                <c:ptCount val="1"/>
                <c:pt idx="0">
                  <c:v>Patrimoine science et env.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'pôles &amp; actions'!$C$203:$AD$203</c:f>
              <c:numCache>
                <c:formatCode>General</c:formatCode>
                <c:ptCount val="5"/>
                <c:pt idx="3" formatCode="#,##0.0_);\(#,##0.0\);&quot; - &quot;_);@_)">
                  <c:v>-20.228650000000002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('pôles &amp; actions'!$J$197,'pôles &amp; actions'!$O$197,'pôles &amp; actions'!#REF!,'pôles &amp; actions'!$AC$197)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B14-456B-AD6A-42915DAA7742}"/>
            </c:ext>
          </c:extLst>
        </c:ser>
        <c:ser>
          <c:idx val="3"/>
          <c:order val="3"/>
          <c:tx>
            <c:strRef>
              <c:f>'pôles &amp; actions'!$B$204</c:f>
              <c:strCache>
                <c:ptCount val="1"/>
                <c:pt idx="0">
                  <c:v>Communication &amp; Publication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'pôles &amp; actions'!$C$204:$AD$204</c:f>
              <c:numCache>
                <c:formatCode>General</c:formatCode>
                <c:ptCount val="5"/>
                <c:pt idx="3" formatCode="#,##0.0_);\(#,##0.0\);&quot; - &quot;_);@_)">
                  <c:v>-20.574749999999995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('pôles &amp; actions'!$J$197,'pôles &amp; actions'!$O$197,'pôles &amp; actions'!#REF!,'pôles &amp; actions'!$AC$197)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B14-456B-AD6A-42915DAA7742}"/>
            </c:ext>
          </c:extLst>
        </c:ser>
        <c:ser>
          <c:idx val="4"/>
          <c:order val="4"/>
          <c:tx>
            <c:strRef>
              <c:f>'pôles &amp; actions'!$B$205</c:f>
              <c:strCache>
                <c:ptCount val="1"/>
                <c:pt idx="0">
                  <c:v>Vie associative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'pôles &amp; actions'!$C$205:$AD$205</c:f>
              <c:numCache>
                <c:formatCode>General</c:formatCode>
                <c:ptCount val="5"/>
                <c:pt idx="3" formatCode="#,##0.0_);\(#,##0.0\);&quot; - &quot;_);@_)">
                  <c:v>-14.09313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('pôles &amp; actions'!$J$197,'pôles &amp; actions'!$O$197,'pôles &amp; actions'!#REF!,'pôles &amp; actions'!$AC$197)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0B14-456B-AD6A-42915DAA7742}"/>
            </c:ext>
          </c:extLst>
        </c:ser>
        <c:ser>
          <c:idx val="5"/>
          <c:order val="5"/>
          <c:tx>
            <c:strRef>
              <c:f>'pôles &amp; actions'!$B$206</c:f>
              <c:strCache>
                <c:ptCount val="1"/>
                <c:pt idx="0">
                  <c:v>Développement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'pôles &amp; actions'!$C$206:$AD$206</c:f>
              <c:numCache>
                <c:formatCode>General</c:formatCode>
                <c:ptCount val="5"/>
                <c:pt idx="3" formatCode="#,##0.0_);\(#,##0.0\);&quot; - &quot;_);@_)">
                  <c:v>-49.218769999999999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('pôles &amp; actions'!$J$197,'pôles &amp; actions'!$O$197,'pôles &amp; actions'!#REF!,'pôles &amp; actions'!$AC$197)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0B14-456B-AD6A-42915DAA7742}"/>
            </c:ext>
          </c:extLst>
        </c:ser>
        <c:ser>
          <c:idx val="6"/>
          <c:order val="6"/>
          <c:tx>
            <c:strRef>
              <c:f>'pôles &amp; actions'!$B$207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'pôles &amp; actions'!$C$207:$AD$207</c:f>
              <c:numCache>
                <c:formatCode>General</c:formatCode>
                <c:ptCount val="5"/>
                <c:pt idx="3" formatCode="#,##0.0_);\(#,##0.0\);&quot; - &quot;_);@_)">
                  <c:v>-11.75013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('pôles &amp; actions'!$J$197,'pôles &amp; actions'!$O$197,'pôles &amp; actions'!#REF!,'pôles &amp; actions'!$AC$197)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0B14-456B-AD6A-42915DAA7742}"/>
            </c:ext>
          </c:extLst>
        </c:ser>
        <c:ser>
          <c:idx val="7"/>
          <c:order val="7"/>
          <c:tx>
            <c:strRef>
              <c:f>'pôles &amp; actions'!$B$208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'pôles &amp; actions'!$C$208:$AD$208</c:f>
              <c:numCache>
                <c:formatCode>General</c:formatCode>
                <c:ptCount val="5"/>
                <c:pt idx="3" formatCode="#,##0.0_);\(#,##0.0\);&quot; - &quot;_);@_)">
                  <c:v>-177.48360000000002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('pôles &amp; actions'!$J$197,'pôles &amp; actions'!$O$197,'pôles &amp; actions'!#REF!,'pôles &amp; actions'!$AC$197)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0B14-456B-AD6A-42915DAA77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65550464"/>
        <c:axId val="265556352"/>
      </c:barChart>
      <c:catAx>
        <c:axId val="2655504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5556352"/>
        <c:crosses val="autoZero"/>
        <c:auto val="1"/>
        <c:lblAlgn val="ctr"/>
        <c:lblOffset val="100"/>
        <c:noMultiLvlLbl val="0"/>
      </c:catAx>
      <c:valAx>
        <c:axId val="265556352"/>
        <c:scaling>
          <c:orientation val="maxMin"/>
          <c:min val="-240"/>
        </c:scaling>
        <c:delete val="1"/>
        <c:axPos val="l"/>
        <c:numFmt formatCode="@" sourceLinked="1"/>
        <c:majorTickMark val="out"/>
        <c:minorTickMark val="none"/>
        <c:tickLblPos val="nextTo"/>
        <c:crossAx val="26555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1.2268807464615493E-2"/>
          <c:y val="0.75554512356292414"/>
          <c:w val="0.97546237599870944"/>
          <c:h val="0.15289060550296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64947610463348E-2"/>
          <c:y val="3.4391509756932559E-2"/>
          <c:w val="0.87702182504849302"/>
          <c:h val="0.698860752671933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Instances!$B$39</c:f>
              <c:strCache>
                <c:ptCount val="1"/>
                <c:pt idx="0">
                  <c:v>Bureau</c:v>
                </c:pt>
              </c:strCache>
            </c:strRef>
          </c:tx>
          <c:spPr>
            <a:solidFill>
              <a:srgbClr val="CCDB3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Instances!$C$38:$AD$38</c:f>
              <c:strCache>
                <c:ptCount val="4"/>
                <c:pt idx="3">
                  <c:v>réalisé 2020</c:v>
                </c:pt>
              </c:strCache>
            </c:strRef>
          </c:cat>
          <c:val>
            <c:numRef>
              <c:f>Instances!$C$39:$AD$39</c:f>
              <c:numCache>
                <c:formatCode>General</c:formatCode>
                <c:ptCount val="5"/>
                <c:pt idx="3" formatCode="#,##0.0_);\(#,##0.0\);&quot; - &quot;_);@_)">
                  <c:v>-0.78399000000000063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FA-476E-9A40-BE066993A10D}"/>
            </c:ext>
          </c:extLst>
        </c:ser>
        <c:ser>
          <c:idx val="1"/>
          <c:order val="1"/>
          <c:tx>
            <c:strRef>
              <c:f>Instances!$B$40</c:f>
              <c:strCache>
                <c:ptCount val="1"/>
                <c:pt idx="0">
                  <c:v>Conseil d'Administration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Instances!$C$38:$AD$38</c:f>
              <c:strCache>
                <c:ptCount val="4"/>
                <c:pt idx="3">
                  <c:v>réalisé 2020</c:v>
                </c:pt>
              </c:strCache>
            </c:strRef>
          </c:cat>
          <c:val>
            <c:numRef>
              <c:f>Instances!$C$40:$AD$40</c:f>
              <c:numCache>
                <c:formatCode>General</c:formatCode>
                <c:ptCount val="5"/>
                <c:pt idx="3" formatCode="#,##0.0_);\(#,##0.0\);&quot; - &quot;_);@_)">
                  <c:v>-2.6007699999999998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FA-476E-9A40-BE066993A10D}"/>
            </c:ext>
          </c:extLst>
        </c:ser>
        <c:ser>
          <c:idx val="2"/>
          <c:order val="2"/>
          <c:tx>
            <c:strRef>
              <c:f>Instances!$B$41</c:f>
              <c:strCache>
                <c:ptCount val="1"/>
                <c:pt idx="0">
                  <c:v>AG et autres réunions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Instances!$C$38:$AD$38</c:f>
              <c:strCache>
                <c:ptCount val="4"/>
                <c:pt idx="3">
                  <c:v>réalisé 2020</c:v>
                </c:pt>
              </c:strCache>
            </c:strRef>
          </c:cat>
          <c:val>
            <c:numRef>
              <c:f>Instances!$C$41:$AD$41</c:f>
              <c:numCache>
                <c:formatCode>General</c:formatCode>
                <c:ptCount val="5"/>
                <c:pt idx="3" formatCode="#,##0.0_);\(#,##0.0\);&quot; - &quot;_);@_)">
                  <c:v>-1.9427799999999997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FA-476E-9A40-BE066993A10D}"/>
            </c:ext>
          </c:extLst>
        </c:ser>
        <c:ser>
          <c:idx val="3"/>
          <c:order val="3"/>
          <c:tx>
            <c:strRef>
              <c:f>Instances!$B$42</c:f>
              <c:strCache>
                <c:ptCount val="1"/>
                <c:pt idx="0">
                  <c:v>Direction technique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Instances!$C$38:$AD$38</c:f>
              <c:strCache>
                <c:ptCount val="4"/>
                <c:pt idx="3">
                  <c:v>réalisé 2020</c:v>
                </c:pt>
              </c:strCache>
            </c:strRef>
          </c:cat>
          <c:val>
            <c:numRef>
              <c:f>Instances!$C$42:$AD$42</c:f>
              <c:numCache>
                <c:formatCode>General</c:formatCode>
                <c:ptCount val="5"/>
                <c:pt idx="3" formatCode="#,##0.0_);\(#,##0.0\);&quot; - &quot;_);@_)">
                  <c:v>-19.108840000000001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FA-476E-9A40-BE066993A10D}"/>
            </c:ext>
          </c:extLst>
        </c:ser>
        <c:ser>
          <c:idx val="4"/>
          <c:order val="4"/>
          <c:tx>
            <c:strRef>
              <c:f>Instances!$B$43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Instances!$C$38:$AD$38</c:f>
              <c:strCache>
                <c:ptCount val="4"/>
                <c:pt idx="3">
                  <c:v>réalisé 2020</c:v>
                </c:pt>
              </c:strCache>
            </c:strRef>
          </c:cat>
          <c:val>
            <c:numRef>
              <c:f>Instances!$C$43:$AD$43</c:f>
              <c:numCache>
                <c:formatCode>General</c:formatCode>
                <c:ptCount val="5"/>
                <c:pt idx="3" formatCode="#,##0.0_);\(#,##0.0\);&quot; - &quot;_);@_)">
                  <c:v>-24.43638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FA-476E-9A40-BE066993A1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77689472"/>
        <c:axId val="277691008"/>
      </c:barChart>
      <c:catAx>
        <c:axId val="277689472"/>
        <c:scaling>
          <c:orientation val="minMax"/>
        </c:scaling>
        <c:delete val="0"/>
        <c:axPos val="t"/>
        <c:numFmt formatCode="@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7691008"/>
        <c:crosses val="autoZero"/>
        <c:auto val="1"/>
        <c:lblAlgn val="ctr"/>
        <c:lblOffset val="100"/>
        <c:noMultiLvlLbl val="0"/>
      </c:catAx>
      <c:valAx>
        <c:axId val="277691008"/>
        <c:scaling>
          <c:orientation val="maxMin"/>
          <c:max val="0"/>
          <c:min val="-110"/>
        </c:scaling>
        <c:delete val="1"/>
        <c:axPos val="l"/>
        <c:numFmt formatCode="@" sourceLinked="1"/>
        <c:majorTickMark val="none"/>
        <c:minorTickMark val="none"/>
        <c:tickLblPos val="low"/>
        <c:crossAx val="27768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881872692212721E-2"/>
          <c:y val="0.83795173552074509"/>
          <c:w val="0.88236226069307477"/>
          <c:h val="0.16204826447925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47624</xdr:colOff>
      <xdr:row>11</xdr:row>
      <xdr:rowOff>152399</xdr:rowOff>
    </xdr:from>
    <xdr:to>
      <xdr:col>42</xdr:col>
      <xdr:colOff>57149</xdr:colOff>
      <xdr:row>31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CC881555-E3A7-9E42-87F8-5EF49BC57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123825</xdr:colOff>
      <xdr:row>11</xdr:row>
      <xdr:rowOff>142875</xdr:rowOff>
    </xdr:from>
    <xdr:to>
      <xdr:col>64</xdr:col>
      <xdr:colOff>514350</xdr:colOff>
      <xdr:row>24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4C5ACC22-91DB-F632-19BF-22A6C2146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44</xdr:row>
      <xdr:rowOff>50798</xdr:rowOff>
    </xdr:from>
    <xdr:to>
      <xdr:col>25</xdr:col>
      <xdr:colOff>361950</xdr:colOff>
      <xdr:row>62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11EC5DE-06FD-40E4-A153-42FC86B35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208</xdr:row>
      <xdr:rowOff>0</xdr:rowOff>
    </xdr:from>
    <xdr:to>
      <xdr:col>30</xdr:col>
      <xdr:colOff>27742</xdr:colOff>
      <xdr:row>208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968C69AA-9D08-4349-A56D-4CB2731E2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391582</xdr:colOff>
      <xdr:row>48</xdr:row>
      <xdr:rowOff>42333</xdr:rowOff>
    </xdr:from>
    <xdr:to>
      <xdr:col>25</xdr:col>
      <xdr:colOff>232834</xdr:colOff>
      <xdr:row>67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F0AB1E0F-7DCC-4D23-827D-8BBEB5A1A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 tint="0.59999389629810485"/>
    <pageSetUpPr fitToPage="1"/>
  </sheetPr>
  <dimension ref="A1:BN21"/>
  <sheetViews>
    <sheetView showGridLines="0" tabSelected="1" zoomScaleNormal="100" workbookViewId="0">
      <pane xSplit="21" ySplit="4" topLeftCell="V5" activePane="bottomRight" state="frozen"/>
      <selection activeCell="E12" sqref="E12"/>
      <selection pane="topRight" activeCell="E12" sqref="E12"/>
      <selection pane="bottomLeft" activeCell="E12" sqref="E12"/>
      <selection pane="bottomRight" activeCell="B3" sqref="B3"/>
    </sheetView>
  </sheetViews>
  <sheetFormatPr baseColWidth="10" defaultColWidth="9.140625" defaultRowHeight="15" outlineLevelCol="1" x14ac:dyDescent="0.25"/>
  <cols>
    <col min="1" max="1" width="4" customWidth="1"/>
    <col min="2" max="2" width="42.140625" customWidth="1"/>
    <col min="3" max="3" width="4.28515625" hidden="1" customWidth="1"/>
    <col min="4" max="4" width="1.7109375" hidden="1" customWidth="1"/>
    <col min="5" max="17" width="8.5703125" hidden="1" customWidth="1"/>
    <col min="18" max="20" width="10.28515625" hidden="1" customWidth="1"/>
    <col min="21" max="21" width="1.7109375" hidden="1" customWidth="1"/>
    <col min="22" max="24" width="10.28515625" customWidth="1"/>
    <col min="25" max="25" width="1.7109375" customWidth="1"/>
    <col min="26" max="26" width="8.5703125" hidden="1" customWidth="1"/>
    <col min="27" max="27" width="1.7109375" hidden="1" customWidth="1"/>
    <col min="28" max="30" width="10.28515625" hidden="1" customWidth="1" outlineLevel="1"/>
    <col min="31" max="31" width="1.7109375" hidden="1" customWidth="1" outlineLevel="1"/>
    <col min="32" max="33" width="8.5703125" hidden="1" customWidth="1" outlineLevel="1"/>
    <col min="34" max="34" width="8.5703125" hidden="1" customWidth="1"/>
    <col min="35" max="35" width="10.28515625" customWidth="1" outlineLevel="1" collapsed="1"/>
    <col min="36" max="37" width="10.28515625" customWidth="1" outlineLevel="1"/>
    <col min="38" max="38" width="35.7109375" hidden="1" customWidth="1" outlineLevel="1"/>
    <col min="39" max="40" width="1.7109375" hidden="1" customWidth="1" outlineLevel="1"/>
    <col min="41" max="41" width="1.7109375" customWidth="1" collapsed="1"/>
    <col min="42" max="42" width="10.28515625" customWidth="1" outlineLevel="1" collapsed="1"/>
    <col min="43" max="44" width="10.28515625" customWidth="1" outlineLevel="1"/>
    <col min="45" max="45" width="1.7109375" customWidth="1" outlineLevel="1"/>
    <col min="46" max="47" width="1.7109375" hidden="1" customWidth="1" outlineLevel="1"/>
    <col min="48" max="48" width="1.7109375" hidden="1" customWidth="1"/>
    <col min="49" max="51" width="10.28515625" customWidth="1" outlineLevel="1"/>
    <col min="52" max="54" width="10.28515625" hidden="1" customWidth="1" outlineLevel="1"/>
    <col min="55" max="55" width="1.7109375" hidden="1" customWidth="1"/>
    <col min="56" max="58" width="10.28515625" hidden="1" customWidth="1" outlineLevel="1"/>
    <col min="59" max="59" width="10.42578125" hidden="1" customWidth="1" outlineLevel="1"/>
    <col min="60" max="61" width="1.7109375" hidden="1" customWidth="1" outlineLevel="1"/>
    <col min="62" max="62" width="1.7109375" customWidth="1" collapsed="1"/>
    <col min="63" max="63" width="11.28515625" customWidth="1" outlineLevel="1"/>
    <col min="64" max="64" width="12.140625" customWidth="1" outlineLevel="1"/>
    <col min="65" max="65" width="9.140625" outlineLevel="1"/>
    <col min="66" max="66" width="1.7109375" customWidth="1" outlineLevel="1"/>
  </cols>
  <sheetData>
    <row r="1" spans="1:66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66" x14ac:dyDescent="0.25"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</row>
    <row r="3" spans="1:66" ht="15.75" x14ac:dyDescent="0.25">
      <c r="B3" s="377" t="s">
        <v>431</v>
      </c>
      <c r="R3" s="580" t="s">
        <v>436</v>
      </c>
      <c r="S3" s="580"/>
      <c r="T3" s="580"/>
      <c r="V3" s="581" t="s">
        <v>386</v>
      </c>
      <c r="W3" s="581"/>
      <c r="X3" s="581"/>
      <c r="Y3" s="204"/>
      <c r="Z3" s="204"/>
      <c r="AB3" s="580" t="s">
        <v>388</v>
      </c>
      <c r="AC3" s="580"/>
      <c r="AD3" s="580"/>
      <c r="AI3" s="582" t="s">
        <v>439</v>
      </c>
      <c r="AJ3" s="582"/>
      <c r="AK3" s="582"/>
      <c r="AP3" s="583" t="s">
        <v>443</v>
      </c>
      <c r="AQ3" s="583"/>
      <c r="AR3" s="583"/>
      <c r="AS3" s="113"/>
      <c r="AT3" s="113"/>
      <c r="AU3" s="113"/>
      <c r="AV3" s="113"/>
      <c r="AW3" s="584" t="s">
        <v>598</v>
      </c>
      <c r="AX3" s="584"/>
      <c r="AY3" s="584"/>
      <c r="AZ3" s="113"/>
      <c r="BA3" s="113"/>
      <c r="BB3" s="113"/>
      <c r="BC3" s="113"/>
      <c r="BD3" s="578" t="s">
        <v>563</v>
      </c>
      <c r="BE3" s="579"/>
      <c r="BF3" s="579"/>
      <c r="BG3" s="579"/>
      <c r="BK3" s="577" t="s">
        <v>600</v>
      </c>
      <c r="BL3" s="577"/>
      <c r="BM3" s="577"/>
      <c r="BN3" s="113"/>
    </row>
    <row r="4" spans="1:66" x14ac:dyDescent="0.25">
      <c r="B4" s="378"/>
      <c r="R4" s="137"/>
      <c r="S4" s="137"/>
      <c r="T4" s="137"/>
      <c r="V4" s="356"/>
      <c r="W4" s="356"/>
      <c r="X4" s="356"/>
      <c r="Y4" s="32"/>
      <c r="Z4" s="32"/>
      <c r="AB4" s="137"/>
      <c r="AC4" s="137"/>
      <c r="AD4" s="137"/>
      <c r="AI4" s="359"/>
      <c r="AJ4" s="359"/>
      <c r="AK4" s="359"/>
      <c r="AP4" s="362"/>
      <c r="AQ4" s="362"/>
      <c r="AR4" s="362"/>
      <c r="AS4" s="78"/>
      <c r="AT4" s="78"/>
      <c r="AU4" s="78"/>
      <c r="AV4" s="78"/>
      <c r="AW4" s="368"/>
      <c r="AX4" s="368"/>
      <c r="AY4" s="368"/>
      <c r="AZ4" s="28"/>
      <c r="BA4" s="28"/>
      <c r="BB4" s="28"/>
      <c r="BC4" s="28"/>
      <c r="BD4" s="137"/>
      <c r="BE4" s="137"/>
      <c r="BF4" s="137"/>
      <c r="BK4" s="371"/>
      <c r="BL4" s="371"/>
      <c r="BM4" s="371"/>
      <c r="BN4" s="78"/>
    </row>
    <row r="5" spans="1:66" ht="15.75" x14ac:dyDescent="0.25">
      <c r="B5" s="379"/>
      <c r="R5" s="205" t="s">
        <v>8</v>
      </c>
      <c r="S5" s="205" t="s">
        <v>9</v>
      </c>
      <c r="T5" s="206" t="s">
        <v>64</v>
      </c>
      <c r="V5" s="350" t="s">
        <v>8</v>
      </c>
      <c r="W5" s="350" t="s">
        <v>9</v>
      </c>
      <c r="X5" s="351" t="s">
        <v>64</v>
      </c>
      <c r="Y5" s="204"/>
      <c r="Z5" s="204"/>
      <c r="AB5" s="209" t="s">
        <v>8</v>
      </c>
      <c r="AC5" s="209" t="s">
        <v>9</v>
      </c>
      <c r="AD5" s="210" t="s">
        <v>64</v>
      </c>
      <c r="AI5" s="207" t="s">
        <v>8</v>
      </c>
      <c r="AJ5" s="207" t="s">
        <v>9</v>
      </c>
      <c r="AK5" s="208" t="s">
        <v>64</v>
      </c>
      <c r="AP5" s="363" t="s">
        <v>8</v>
      </c>
      <c r="AQ5" s="363" t="s">
        <v>9</v>
      </c>
      <c r="AR5" s="364" t="s">
        <v>64</v>
      </c>
      <c r="AS5" s="113"/>
      <c r="AT5" s="113"/>
      <c r="AU5" s="113"/>
      <c r="AV5" s="113"/>
      <c r="AW5" s="353" t="s">
        <v>8</v>
      </c>
      <c r="AX5" s="353" t="s">
        <v>9</v>
      </c>
      <c r="AY5" s="354" t="s">
        <v>64</v>
      </c>
      <c r="AZ5" s="214"/>
      <c r="BA5" s="214"/>
      <c r="BB5" s="214"/>
      <c r="BC5" s="214"/>
      <c r="BD5" s="286" t="s">
        <v>8</v>
      </c>
      <c r="BE5" s="286" t="s">
        <v>9</v>
      </c>
      <c r="BF5" s="287" t="s">
        <v>64</v>
      </c>
      <c r="BG5" s="287" t="s">
        <v>445</v>
      </c>
      <c r="BK5" s="372" t="s">
        <v>8</v>
      </c>
      <c r="BL5" s="372" t="s">
        <v>9</v>
      </c>
      <c r="BM5" s="373" t="s">
        <v>64</v>
      </c>
      <c r="BN5" s="113"/>
    </row>
    <row r="6" spans="1:66" ht="15.75" x14ac:dyDescent="0.25">
      <c r="A6">
        <v>1</v>
      </c>
      <c r="B6" s="377" t="s">
        <v>432</v>
      </c>
      <c r="R6" s="213">
        <f>ressources!R27</f>
        <v>-368.78199999999998</v>
      </c>
      <c r="S6" s="141">
        <f>ressources!S27</f>
        <v>1050.8530000000001</v>
      </c>
      <c r="T6" s="141">
        <f>ressources!T27</f>
        <v>682.07100000000003</v>
      </c>
      <c r="V6" s="352">
        <f>ressources!V27</f>
        <v>-433.33356999999995</v>
      </c>
      <c r="W6" s="352">
        <f>ressources!W27</f>
        <v>1011.49474</v>
      </c>
      <c r="X6" s="352">
        <f>ressources!X27</f>
        <v>578.16117000000008</v>
      </c>
      <c r="AB6" s="139">
        <f>ressources!AB27</f>
        <v>-366.8</v>
      </c>
      <c r="AC6" s="139">
        <f>ressources!AC27</f>
        <v>964.41899999999998</v>
      </c>
      <c r="AD6" s="139">
        <f>ressources!AD27</f>
        <v>597.61899999999991</v>
      </c>
      <c r="AI6" s="211">
        <f>ressources!AI27</f>
        <v>-484.32153999999997</v>
      </c>
      <c r="AJ6" s="211">
        <f>ressources!AJ27</f>
        <v>1070.73316</v>
      </c>
      <c r="AK6" s="211">
        <f>ressources!AK27</f>
        <v>586.41162000000008</v>
      </c>
      <c r="AP6" s="365">
        <f>ressources!AP27</f>
        <v>-386.6</v>
      </c>
      <c r="AQ6" s="365">
        <f>ressources!AQ27</f>
        <v>1035.04</v>
      </c>
      <c r="AR6" s="365">
        <f>ressources!AR27</f>
        <v>648.43999999999994</v>
      </c>
      <c r="AS6" s="113"/>
      <c r="AT6" s="113"/>
      <c r="AU6" s="113"/>
      <c r="AV6" s="113"/>
      <c r="AW6" s="355">
        <f>ressources!AW27</f>
        <v>-498.18123000000003</v>
      </c>
      <c r="AX6" s="355">
        <f>ressources!AX27</f>
        <v>1159.0194300000001</v>
      </c>
      <c r="AY6" s="355">
        <f>ressources!AY27</f>
        <v>660.83820000000003</v>
      </c>
      <c r="AZ6" s="214"/>
      <c r="BA6" s="214"/>
      <c r="BB6" s="214"/>
      <c r="BC6" s="214"/>
      <c r="BD6" s="288" t="e">
        <f>ressources!BD27</f>
        <v>#REF!</v>
      </c>
      <c r="BE6" s="288" t="e">
        <f>ressources!BE27</f>
        <v>#REF!</v>
      </c>
      <c r="BF6" s="288" t="e">
        <f>ressources!BF27</f>
        <v>#REF!</v>
      </c>
      <c r="BG6" s="288" t="e">
        <f>AR6-BF6</f>
        <v>#REF!</v>
      </c>
      <c r="BK6" s="374">
        <f>ressources!BK27</f>
        <v>-449.44</v>
      </c>
      <c r="BL6" s="374">
        <f>ressources!BL27</f>
        <v>1132.23</v>
      </c>
      <c r="BM6" s="374">
        <f>ressources!BM27</f>
        <v>682.79</v>
      </c>
      <c r="BN6" s="113"/>
    </row>
    <row r="7" spans="1:66" ht="15.75" x14ac:dyDescent="0.25">
      <c r="A7">
        <v>2</v>
      </c>
      <c r="B7" s="377" t="s">
        <v>433</v>
      </c>
      <c r="R7" s="213">
        <f>'pôles &amp; actions'!R197</f>
        <v>-543.69200000000001</v>
      </c>
      <c r="S7" s="141">
        <f>'pôles &amp; actions'!S197</f>
        <v>278.16500000000002</v>
      </c>
      <c r="T7" s="141">
        <f>'pôles &amp; actions'!T197</f>
        <v>-265.52699999999999</v>
      </c>
      <c r="V7" s="352">
        <f>'pôles &amp; actions'!V197</f>
        <v>-362.73466999999999</v>
      </c>
      <c r="W7" s="352">
        <f>'pôles &amp; actions'!W197</f>
        <v>186.02751000000001</v>
      </c>
      <c r="X7" s="352">
        <f>'pôles &amp; actions'!X197</f>
        <v>-177.4836</v>
      </c>
      <c r="AB7" s="139">
        <f>'pôles &amp; actions'!AB197</f>
        <v>-509.20266666666669</v>
      </c>
      <c r="AC7" s="139">
        <f>'pôles &amp; actions'!AC197</f>
        <v>290.33000000000004</v>
      </c>
      <c r="AD7" s="139">
        <f>'pôles &amp; actions'!AD197</f>
        <v>-218.87266666666665</v>
      </c>
      <c r="AI7" s="211">
        <f>'pôles &amp; actions'!AI197</f>
        <v>-428.75620999999995</v>
      </c>
      <c r="AJ7" s="211">
        <f>'pôles &amp; actions'!AJ197</f>
        <v>308.75982999999997</v>
      </c>
      <c r="AK7" s="211">
        <f>'pôles &amp; actions'!AK197</f>
        <v>-119.99637999999999</v>
      </c>
      <c r="AP7" s="365">
        <f>'pôles &amp; actions'!AP197</f>
        <v>-1499.9039999999998</v>
      </c>
      <c r="AQ7" s="365">
        <f>'pôles &amp; actions'!AQ197</f>
        <v>1232.6480000000001</v>
      </c>
      <c r="AR7" s="365">
        <f>'pôles &amp; actions'!AR197</f>
        <v>-267.25599999999963</v>
      </c>
      <c r="AS7" s="113"/>
      <c r="AT7" s="113"/>
      <c r="AU7" s="113"/>
      <c r="AV7" s="113"/>
      <c r="AW7" s="355">
        <f>'pôles &amp; actions'!AW197</f>
        <v>-940.99455999999975</v>
      </c>
      <c r="AX7" s="355">
        <f>'pôles &amp; actions'!AX197</f>
        <v>740.86682999999994</v>
      </c>
      <c r="AY7" s="355">
        <f>'pôles &amp; actions'!AY197</f>
        <v>-200.12772999999981</v>
      </c>
      <c r="AZ7" s="214"/>
      <c r="BA7" s="214"/>
      <c r="BB7" s="214"/>
      <c r="BC7" s="214"/>
      <c r="BD7" s="288" t="e">
        <f>'pôles &amp; actions'!BD197</f>
        <v>#REF!</v>
      </c>
      <c r="BE7" s="288" t="e">
        <f>'pôles &amp; actions'!BE197</f>
        <v>#REF!</v>
      </c>
      <c r="BF7" s="288" t="e">
        <f>'pôles &amp; actions'!BF197</f>
        <v>#REF!</v>
      </c>
      <c r="BG7" s="288" t="e">
        <f>AR7-BF7</f>
        <v>#REF!</v>
      </c>
      <c r="BK7" s="374">
        <f>'pôles &amp; actions'!BK197</f>
        <v>-639.38</v>
      </c>
      <c r="BL7" s="374">
        <f>'pôles &amp; actions'!BL197</f>
        <v>368.59299999999996</v>
      </c>
      <c r="BM7" s="374">
        <f>'pôles &amp; actions'!BM197</f>
        <v>-270.78700000000003</v>
      </c>
      <c r="BN7" s="113"/>
    </row>
    <row r="8" spans="1:66" ht="15.75" x14ac:dyDescent="0.25">
      <c r="A8">
        <v>3</v>
      </c>
      <c r="B8" s="377" t="s">
        <v>434</v>
      </c>
      <c r="R8" s="213">
        <f>Instances!R35</f>
        <v>-125.1</v>
      </c>
      <c r="S8" s="141">
        <f>Instances!S35</f>
        <v>5</v>
      </c>
      <c r="T8" s="141">
        <f>Instances!T35</f>
        <v>-120.1</v>
      </c>
      <c r="V8" s="352">
        <f>Instances!V35</f>
        <v>-28.542159999999999</v>
      </c>
      <c r="W8" s="352">
        <f>Instances!W35</f>
        <v>4.1057799999999993</v>
      </c>
      <c r="X8" s="352">
        <f>Instances!X35</f>
        <v>-24.43638</v>
      </c>
      <c r="AB8" s="139">
        <f>Instances!AB35</f>
        <v>-50</v>
      </c>
      <c r="AC8" s="139">
        <f>Instances!AC35</f>
        <v>0</v>
      </c>
      <c r="AD8" s="139">
        <f>Instances!AD35</f>
        <v>-50</v>
      </c>
      <c r="AI8" s="211">
        <f>Instances!AI35</f>
        <v>-41.846049999999998</v>
      </c>
      <c r="AJ8" s="211">
        <f>Instances!AJ35</f>
        <v>5.65998</v>
      </c>
      <c r="AK8" s="211">
        <f>Instances!AK35</f>
        <v>-36.186070000000001</v>
      </c>
      <c r="AP8" s="365">
        <f>Instances!AP35</f>
        <v>-68.5</v>
      </c>
      <c r="AQ8" s="365">
        <f>Instances!AQ35</f>
        <v>1</v>
      </c>
      <c r="AR8" s="365">
        <f>Instances!AR35</f>
        <v>-67.5</v>
      </c>
      <c r="AS8" s="113"/>
      <c r="AT8" s="113"/>
      <c r="AU8" s="113"/>
      <c r="AV8" s="113"/>
      <c r="AW8" s="355">
        <f>Instances!AW35</f>
        <v>-59.686419999999991</v>
      </c>
      <c r="AX8" s="355">
        <f>Instances!AX35</f>
        <v>6.3343800000000012</v>
      </c>
      <c r="AY8" s="355">
        <f>Instances!AY35</f>
        <v>-53.352039999999988</v>
      </c>
      <c r="AZ8" s="214"/>
      <c r="BA8" s="214"/>
      <c r="BB8" s="214"/>
      <c r="BC8" s="214"/>
      <c r="BD8" s="288" t="e">
        <f>Instances!BD35</f>
        <v>#REF!</v>
      </c>
      <c r="BE8" s="288" t="e">
        <f>Instances!BE35</f>
        <v>#REF!</v>
      </c>
      <c r="BF8" s="288" t="e">
        <f>Instances!BF35</f>
        <v>#REF!</v>
      </c>
      <c r="BG8" s="288" t="e">
        <f>AR8-BF8</f>
        <v>#REF!</v>
      </c>
      <c r="BK8" s="374">
        <f>Instances!BK35</f>
        <v>-70.8</v>
      </c>
      <c r="BL8" s="374">
        <f>Instances!BL35</f>
        <v>1</v>
      </c>
      <c r="BM8" s="374">
        <f>Instances!BM35</f>
        <v>-69.8</v>
      </c>
      <c r="BN8" s="113"/>
    </row>
    <row r="9" spans="1:66" ht="15.75" x14ac:dyDescent="0.25">
      <c r="A9">
        <v>4</v>
      </c>
      <c r="B9" s="377" t="s">
        <v>435</v>
      </c>
      <c r="R9" s="213">
        <f>fonctionnement!R40</f>
        <v>-324.66201000000001</v>
      </c>
      <c r="S9" s="141">
        <f>fonctionnement!S40</f>
        <v>28.2</v>
      </c>
      <c r="T9" s="141">
        <f>fonctionnement!T40</f>
        <v>-296.46200999999996</v>
      </c>
      <c r="V9" s="352">
        <f>fonctionnement!V40</f>
        <v>-377.32252</v>
      </c>
      <c r="W9" s="352">
        <f>fonctionnement!W40</f>
        <v>62.678850000000004</v>
      </c>
      <c r="X9" s="352">
        <f>fonctionnement!X40</f>
        <v>-314.64367000000004</v>
      </c>
      <c r="AB9" s="139">
        <f>fonctionnement!AB40</f>
        <v>-328.7</v>
      </c>
      <c r="AC9" s="139">
        <f>fonctionnement!AC40</f>
        <v>0</v>
      </c>
      <c r="AD9" s="139">
        <f>fonctionnement!AD40</f>
        <v>-328.7</v>
      </c>
      <c r="AI9" s="211">
        <f>fonctionnement!AI40</f>
        <v>-376.15744000000001</v>
      </c>
      <c r="AJ9" s="211">
        <f>fonctionnement!AJ40</f>
        <v>76.244230000000002</v>
      </c>
      <c r="AK9" s="211">
        <f>fonctionnement!AK40</f>
        <v>-299.91320999999999</v>
      </c>
      <c r="AP9" s="365">
        <f>fonctionnement!AP40</f>
        <v>-320.64299999999997</v>
      </c>
      <c r="AQ9" s="365">
        <f>fonctionnement!AQ40</f>
        <v>7</v>
      </c>
      <c r="AR9" s="365">
        <f>fonctionnement!AR40</f>
        <v>-313.64299999999997</v>
      </c>
      <c r="AS9" s="215"/>
      <c r="AT9" s="215"/>
      <c r="AU9" s="215"/>
      <c r="AV9" s="215"/>
      <c r="AW9" s="355">
        <f>fonctionnement!AW40</f>
        <v>-379.50977</v>
      </c>
      <c r="AX9" s="355">
        <f>fonctionnement!AX40</f>
        <v>60.16236</v>
      </c>
      <c r="AY9" s="355">
        <f>fonctionnement!AY40</f>
        <v>-319.34741000000002</v>
      </c>
      <c r="AZ9" s="216"/>
      <c r="BA9" s="216"/>
      <c r="BB9" s="216"/>
      <c r="BC9" s="216"/>
      <c r="BD9" s="288" t="e">
        <f>fonctionnement!BD40</f>
        <v>#REF!</v>
      </c>
      <c r="BE9" s="288" t="e">
        <f>fonctionnement!BE40</f>
        <v>#REF!</v>
      </c>
      <c r="BF9" s="288" t="e">
        <f>fonctionnement!BF40</f>
        <v>#REF!</v>
      </c>
      <c r="BG9" s="288" t="e">
        <f>AR9-BF9</f>
        <v>#REF!</v>
      </c>
      <c r="BK9" s="374">
        <f>fonctionnement!BK40</f>
        <v>-372</v>
      </c>
      <c r="BL9" s="374">
        <f>fonctionnement!BL40</f>
        <v>29.8</v>
      </c>
      <c r="BM9" s="374">
        <f>fonctionnement!BM40</f>
        <v>-342.2</v>
      </c>
      <c r="BN9" s="215"/>
    </row>
    <row r="10" spans="1:66" x14ac:dyDescent="0.25">
      <c r="A10">
        <v>5</v>
      </c>
      <c r="B10" s="378"/>
      <c r="V10" s="357"/>
      <c r="W10" s="357"/>
      <c r="X10" s="357"/>
      <c r="AI10" s="360"/>
      <c r="AJ10" s="360"/>
      <c r="AK10" s="360"/>
      <c r="AP10" s="366"/>
      <c r="AQ10" s="366"/>
      <c r="AR10" s="366"/>
      <c r="AS10" s="113"/>
      <c r="AT10" s="113"/>
      <c r="AU10" s="113"/>
      <c r="AV10" s="113"/>
      <c r="AW10" s="369"/>
      <c r="AX10" s="369"/>
      <c r="AY10" s="369"/>
      <c r="AZ10" s="113"/>
      <c r="BA10" s="113"/>
      <c r="BB10" s="113"/>
      <c r="BC10" s="113"/>
      <c r="BK10" s="375"/>
      <c r="BL10" s="375"/>
      <c r="BM10" s="375"/>
      <c r="BN10" s="113"/>
    </row>
    <row r="11" spans="1:66" ht="15.75" x14ac:dyDescent="0.25">
      <c r="A11">
        <v>6</v>
      </c>
      <c r="B11" s="380" t="s">
        <v>260</v>
      </c>
      <c r="R11" s="212">
        <f>SUM(R6:R9)</f>
        <v>-1362.2360099999999</v>
      </c>
      <c r="S11" s="212">
        <f t="shared" ref="S11:T11" si="0">SUM(S6:S9)</f>
        <v>1362.2180000000001</v>
      </c>
      <c r="T11" s="212">
        <f t="shared" si="0"/>
        <v>-1.8009999999890169E-2</v>
      </c>
      <c r="V11" s="358">
        <f>SUM(V6:V9)</f>
        <v>-1201.93292</v>
      </c>
      <c r="W11" s="358">
        <f t="shared" ref="W11:X11" si="1">SUM(W6:W9)</f>
        <v>1264.3068800000001</v>
      </c>
      <c r="X11" s="358">
        <f t="shared" si="1"/>
        <v>61.597520000000031</v>
      </c>
      <c r="AB11" s="212">
        <f>SUM(AB6:AB9)</f>
        <v>-1254.7026666666668</v>
      </c>
      <c r="AC11" s="212">
        <f t="shared" ref="AC11:AD11" si="2">SUM(AC6:AC9)</f>
        <v>1254.749</v>
      </c>
      <c r="AD11" s="212">
        <f t="shared" si="2"/>
        <v>4.6333333333279825E-2</v>
      </c>
      <c r="AI11" s="361">
        <f>SUM(AI6:AI9)</f>
        <v>-1331.08124</v>
      </c>
      <c r="AJ11" s="361">
        <f t="shared" ref="AJ11" si="3">SUM(AJ6:AJ9)</f>
        <v>1461.3971999999999</v>
      </c>
      <c r="AK11" s="361">
        <f>SUM(AK6:AK9)</f>
        <v>130.31596000000008</v>
      </c>
      <c r="AM11" s="3"/>
      <c r="AP11" s="367">
        <f>SUM(AP6:AP9)</f>
        <v>-2275.6469999999999</v>
      </c>
      <c r="AQ11" s="367">
        <f t="shared" ref="AQ11:AR11" si="4">SUM(AQ6:AQ9)</f>
        <v>2275.6880000000001</v>
      </c>
      <c r="AR11" s="367">
        <f t="shared" si="4"/>
        <v>4.1000000000337877E-2</v>
      </c>
      <c r="AW11" s="370">
        <f>SUM(AW6:AW9)</f>
        <v>-1878.3719799999999</v>
      </c>
      <c r="AX11" s="370">
        <f t="shared" ref="AX11" si="5">SUM(AX6:AX9)</f>
        <v>1966.383</v>
      </c>
      <c r="AY11" s="370">
        <f>SUM(AY6:AY9)</f>
        <v>88.011020000000201</v>
      </c>
      <c r="BD11" s="322" t="e">
        <f>SUM(BD6:BD9)</f>
        <v>#REF!</v>
      </c>
      <c r="BE11" s="322" t="e">
        <f>SUM(BE6:BE9)</f>
        <v>#REF!</v>
      </c>
      <c r="BF11" s="322" t="e">
        <f t="shared" ref="BF11" si="6">SUM(BF6:BF9)</f>
        <v>#REF!</v>
      </c>
      <c r="BG11" s="289"/>
      <c r="BK11" s="289">
        <f>SUM(BK6:BK9)</f>
        <v>-1531.62</v>
      </c>
      <c r="BL11" s="289">
        <f t="shared" ref="BL11:BM11" si="7">SUM(BL6:BL9)</f>
        <v>1531.6229999999998</v>
      </c>
      <c r="BM11" s="376">
        <f t="shared" si="7"/>
        <v>2.9999999999290594E-3</v>
      </c>
    </row>
    <row r="12" spans="1:66" x14ac:dyDescent="0.25">
      <c r="BE12" s="262" t="s">
        <v>444</v>
      </c>
      <c r="BF12" s="262"/>
      <c r="BG12" s="295" t="e">
        <f>((SUM(#REF!)-SUM(#REF!))/1000)-BF11</f>
        <v>#REF!</v>
      </c>
    </row>
    <row r="17" spans="29:32" x14ac:dyDescent="0.25">
      <c r="AC17" s="290"/>
      <c r="AD17" s="290"/>
      <c r="AE17" s="290"/>
      <c r="AF17" s="290"/>
    </row>
    <row r="18" spans="29:32" x14ac:dyDescent="0.25">
      <c r="AC18" s="290"/>
      <c r="AD18" s="290"/>
      <c r="AE18" s="290"/>
      <c r="AF18" s="290"/>
    </row>
    <row r="19" spans="29:32" x14ac:dyDescent="0.25">
      <c r="AC19" s="290"/>
      <c r="AD19" s="290"/>
      <c r="AE19" s="290"/>
      <c r="AF19" s="290"/>
    </row>
    <row r="20" spans="29:32" x14ac:dyDescent="0.25">
      <c r="AC20" s="290"/>
      <c r="AD20" s="290"/>
      <c r="AE20" s="290"/>
      <c r="AF20" s="290"/>
    </row>
    <row r="21" spans="29:32" x14ac:dyDescent="0.25">
      <c r="AC21" s="290"/>
      <c r="AD21" s="290"/>
      <c r="AE21" s="290"/>
      <c r="AF21" s="290"/>
    </row>
  </sheetData>
  <sheetProtection password="95B0" sheet="1" objects="1" scenarios="1"/>
  <mergeCells count="8">
    <mergeCell ref="BK3:BM3"/>
    <mergeCell ref="BD3:BG3"/>
    <mergeCell ref="R3:T3"/>
    <mergeCell ref="V3:X3"/>
    <mergeCell ref="AB3:AD3"/>
    <mergeCell ref="AI3:AK3"/>
    <mergeCell ref="AP3:AR3"/>
    <mergeCell ref="AW3:AY3"/>
  </mergeCells>
  <pageMargins left="0.31496062992125984" right="0.31496062992125984" top="0.35433070866141736" bottom="0.35433070866141736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theme="4" tint="0.39997558519241921"/>
    <pageSetUpPr fitToPage="1"/>
  </sheetPr>
  <dimension ref="A1:BN143"/>
  <sheetViews>
    <sheetView showGridLines="0" zoomScale="80" zoomScaleNormal="80" workbookViewId="0">
      <pane xSplit="2" topLeftCell="C1" activePane="topRight" state="frozen"/>
      <selection activeCell="E12" sqref="E12"/>
      <selection pane="topRight" activeCell="B3" sqref="B3"/>
    </sheetView>
  </sheetViews>
  <sheetFormatPr baseColWidth="10" defaultColWidth="11.42578125" defaultRowHeight="15" outlineLevelRow="2" outlineLevelCol="3" x14ac:dyDescent="0.25"/>
  <cols>
    <col min="1" max="1" width="4.7109375" style="7" customWidth="1"/>
    <col min="2" max="2" width="35" style="9" customWidth="1"/>
    <col min="3" max="3" width="7.140625" style="308" customWidth="1"/>
    <col min="4" max="4" width="8.85546875" style="6" hidden="1" customWidth="1" outlineLevel="1"/>
    <col min="5" max="5" width="7.5703125" style="6" hidden="1" customWidth="1" outlineLevel="1"/>
    <col min="6" max="7" width="6" style="6" hidden="1" customWidth="1"/>
    <col min="8" max="8" width="1.42578125" style="6" hidden="1" customWidth="1"/>
    <col min="9" max="9" width="8.85546875" style="6" hidden="1" customWidth="1" outlineLevel="1"/>
    <col min="10" max="10" width="7.5703125" style="6" hidden="1" customWidth="1" outlineLevel="1"/>
    <col min="11" max="11" width="6.28515625" style="6" hidden="1" customWidth="1"/>
    <col min="12" max="13" width="1.7109375" style="6" hidden="1" customWidth="1" outlineLevel="1"/>
    <col min="14" max="14" width="8.7109375" style="6" hidden="1" customWidth="1" outlineLevel="1"/>
    <col min="15" max="15" width="7.42578125" style="7" hidden="1" customWidth="1" outlineLevel="1"/>
    <col min="16" max="16" width="6.28515625" style="7" hidden="1" customWidth="1"/>
    <col min="17" max="17" width="1.7109375" style="7" hidden="1" customWidth="1" outlineLevel="1"/>
    <col min="18" max="20" width="10.28515625" style="7" hidden="1" customWidth="1" outlineLevel="2"/>
    <col min="21" max="21" width="1.7109375" style="7" hidden="1" customWidth="1" outlineLevel="1"/>
    <col min="22" max="24" width="10.28515625" style="7" customWidth="1" outlineLevel="1"/>
    <col min="25" max="25" width="1.7109375" style="7" customWidth="1" outlineLevel="1"/>
    <col min="26" max="26" width="8.5703125" style="7" hidden="1" customWidth="1" outlineLevel="1"/>
    <col min="27" max="27" width="1.7109375" style="7" hidden="1" customWidth="1"/>
    <col min="28" max="30" width="10.28515625" style="7" hidden="1" customWidth="1"/>
    <col min="31" max="31" width="2.28515625" style="7" hidden="1" customWidth="1"/>
    <col min="32" max="32" width="8.5703125" style="7" hidden="1" customWidth="1"/>
    <col min="33" max="33" width="45.42578125" style="8" hidden="1" customWidth="1" outlineLevel="1"/>
    <col min="34" max="34" width="1.7109375" style="8" hidden="1" customWidth="1"/>
    <col min="35" max="37" width="10.28515625" style="8" customWidth="1" outlineLevel="1"/>
    <col min="38" max="38" width="1.7109375" style="8" customWidth="1" outlineLevel="1"/>
    <col min="39" max="39" width="8.5703125" style="8" hidden="1" customWidth="1" outlineLevel="1"/>
    <col min="40" max="40" width="32.5703125" style="8" hidden="1" customWidth="1" outlineLevel="1"/>
    <col min="41" max="41" width="1.7109375" style="8" hidden="1" customWidth="1"/>
    <col min="42" max="44" width="10.28515625" style="8" customWidth="1" outlineLevel="1"/>
    <col min="45" max="45" width="1.7109375" style="8" customWidth="1" outlineLevel="1"/>
    <col min="46" max="46" width="8.5703125" style="7" hidden="1" customWidth="1" outlineLevel="1"/>
    <col min="47" max="47" width="2.42578125" style="8" hidden="1" customWidth="1" outlineLevel="3"/>
    <col min="48" max="48" width="1.7109375" style="8" hidden="1" customWidth="1"/>
    <col min="49" max="51" width="10.28515625" style="8" customWidth="1" outlineLevel="1"/>
    <col min="52" max="52" width="1.7109375" style="8" customWidth="1" outlineLevel="1"/>
    <col min="53" max="54" width="10.28515625" style="8" hidden="1" customWidth="1" outlineLevel="1"/>
    <col min="55" max="55" width="1.7109375" style="8" hidden="1" customWidth="1"/>
    <col min="56" max="58" width="10.28515625" style="8" hidden="1" customWidth="1" outlineLevel="1"/>
    <col min="59" max="59" width="11.42578125" style="7" hidden="1" customWidth="1" outlineLevel="1"/>
    <col min="60" max="61" width="1.7109375" style="7" hidden="1" customWidth="1" outlineLevel="1"/>
    <col min="62" max="62" width="1.7109375" style="7" hidden="1" customWidth="1"/>
    <col min="63" max="65" width="11.42578125" style="7" outlineLevel="1"/>
    <col min="66" max="66" width="1.7109375" style="7" customWidth="1" outlineLevel="1"/>
    <col min="67" max="67" width="1.7109375" style="7" customWidth="1"/>
    <col min="68" max="16384" width="11.42578125" style="7"/>
  </cols>
  <sheetData>
    <row r="1" spans="1:66" ht="18.75" x14ac:dyDescent="0.25">
      <c r="B1" s="4" t="s">
        <v>4</v>
      </c>
    </row>
    <row r="2" spans="1:66" s="8" customFormat="1" x14ac:dyDescent="0.25">
      <c r="B2" s="9"/>
      <c r="C2" s="30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T2" s="10"/>
      <c r="X2" s="11"/>
      <c r="AT2" s="7"/>
    </row>
    <row r="3" spans="1:66" s="8" customFormat="1" ht="30" x14ac:dyDescent="0.25">
      <c r="B3" s="381" t="s">
        <v>4</v>
      </c>
      <c r="C3" s="38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586" t="s">
        <v>384</v>
      </c>
      <c r="S3" s="586"/>
      <c r="T3" s="586"/>
      <c r="U3" s="12"/>
      <c r="V3" s="587" t="s">
        <v>386</v>
      </c>
      <c r="W3" s="587"/>
      <c r="X3" s="587"/>
      <c r="AB3" s="588" t="s">
        <v>385</v>
      </c>
      <c r="AC3" s="588"/>
      <c r="AD3" s="588"/>
      <c r="AE3" s="27"/>
      <c r="AF3" s="27"/>
      <c r="AI3" s="589" t="s">
        <v>439</v>
      </c>
      <c r="AJ3" s="589"/>
      <c r="AK3" s="589"/>
      <c r="AN3" s="8" t="s">
        <v>440</v>
      </c>
      <c r="AP3" s="591" t="s">
        <v>441</v>
      </c>
      <c r="AQ3" s="591"/>
      <c r="AR3" s="591"/>
      <c r="AS3" s="223"/>
      <c r="AT3" s="124" t="s">
        <v>422</v>
      </c>
      <c r="AU3" s="8" t="s">
        <v>13</v>
      </c>
      <c r="AW3" s="592" t="s">
        <v>598</v>
      </c>
      <c r="AX3" s="592"/>
      <c r="AY3" s="592"/>
      <c r="AZ3" s="6"/>
      <c r="BA3" s="6"/>
      <c r="BD3" s="590" t="e">
        <f>"Situation 2022 : "&amp;ROUND((-SUM(#REF!)+SUM(#REF!))/1000,3)&amp;" k€"</f>
        <v>#REF!</v>
      </c>
      <c r="BE3" s="590"/>
      <c r="BF3" s="590"/>
      <c r="BK3" s="585" t="s">
        <v>599</v>
      </c>
      <c r="BL3" s="585"/>
      <c r="BM3" s="585"/>
      <c r="BN3" s="223"/>
    </row>
    <row r="4" spans="1:66" ht="15" customHeight="1" x14ac:dyDescent="0.25">
      <c r="B4" s="383" t="s">
        <v>1</v>
      </c>
      <c r="C4" s="384"/>
      <c r="D4" s="13" t="s">
        <v>8</v>
      </c>
      <c r="E4" s="13" t="s">
        <v>9</v>
      </c>
      <c r="F4" s="99" t="s">
        <v>10</v>
      </c>
      <c r="G4" s="135"/>
      <c r="H4" s="14"/>
      <c r="I4" s="13" t="s">
        <v>8</v>
      </c>
      <c r="J4" s="13" t="s">
        <v>9</v>
      </c>
      <c r="K4" s="99" t="s">
        <v>2</v>
      </c>
      <c r="L4" s="14"/>
      <c r="M4" s="14"/>
      <c r="N4" s="99" t="s">
        <v>8</v>
      </c>
      <c r="O4" s="99" t="s">
        <v>9</v>
      </c>
      <c r="P4" s="99" t="s">
        <v>3</v>
      </c>
      <c r="Q4" s="14"/>
      <c r="R4" s="146" t="s">
        <v>8</v>
      </c>
      <c r="S4" s="146" t="s">
        <v>9</v>
      </c>
      <c r="T4" s="146" t="s">
        <v>11</v>
      </c>
      <c r="U4" s="14"/>
      <c r="V4" s="325" t="s">
        <v>8</v>
      </c>
      <c r="W4" s="325" t="s">
        <v>9</v>
      </c>
      <c r="X4" s="325" t="s">
        <v>12</v>
      </c>
      <c r="Y4" s="14"/>
      <c r="Z4" s="124" t="s">
        <v>422</v>
      </c>
      <c r="AA4" s="14"/>
      <c r="AB4" s="153" t="s">
        <v>8</v>
      </c>
      <c r="AC4" s="153" t="s">
        <v>9</v>
      </c>
      <c r="AD4" s="153" t="s">
        <v>64</v>
      </c>
      <c r="AE4" s="28"/>
      <c r="AF4" s="131" t="s">
        <v>414</v>
      </c>
      <c r="AG4" s="15" t="s">
        <v>13</v>
      </c>
      <c r="AH4" s="9"/>
      <c r="AI4" s="147" t="s">
        <v>8</v>
      </c>
      <c r="AJ4" s="147" t="s">
        <v>9</v>
      </c>
      <c r="AK4" s="147" t="s">
        <v>64</v>
      </c>
      <c r="AL4" s="9"/>
      <c r="AM4" s="124" t="s">
        <v>422</v>
      </c>
      <c r="AN4" s="219"/>
      <c r="AO4" s="219"/>
      <c r="AP4" s="337" t="s">
        <v>8</v>
      </c>
      <c r="AQ4" s="337" t="s">
        <v>9</v>
      </c>
      <c r="AR4" s="337" t="s">
        <v>64</v>
      </c>
      <c r="AS4" s="224"/>
      <c r="AT4" s="131" t="s">
        <v>414</v>
      </c>
      <c r="AU4" s="219"/>
      <c r="AV4" s="219"/>
      <c r="AW4" s="135" t="s">
        <v>8</v>
      </c>
      <c r="AX4" s="135" t="s">
        <v>9</v>
      </c>
      <c r="AY4" s="135" t="s">
        <v>64</v>
      </c>
      <c r="AZ4" s="28"/>
      <c r="BA4" s="28" t="s">
        <v>323</v>
      </c>
      <c r="BB4" s="219" t="s">
        <v>13</v>
      </c>
      <c r="BC4" s="219"/>
      <c r="BD4" s="220" t="s">
        <v>8</v>
      </c>
      <c r="BE4" s="220" t="s">
        <v>9</v>
      </c>
      <c r="BF4" s="220" t="s">
        <v>64</v>
      </c>
      <c r="BG4" s="220" t="s">
        <v>442</v>
      </c>
      <c r="BK4" s="343" t="s">
        <v>8</v>
      </c>
      <c r="BL4" s="343" t="s">
        <v>9</v>
      </c>
      <c r="BM4" s="343" t="s">
        <v>64</v>
      </c>
      <c r="BN4" s="224"/>
    </row>
    <row r="5" spans="1:66" ht="15" customHeight="1" outlineLevel="1" x14ac:dyDescent="0.25">
      <c r="A5" s="7">
        <v>1</v>
      </c>
      <c r="B5" s="385" t="s">
        <v>14</v>
      </c>
      <c r="C5" s="386" t="s">
        <v>324</v>
      </c>
      <c r="D5" s="16">
        <v>-50.69</v>
      </c>
      <c r="E5" s="16">
        <v>352</v>
      </c>
      <c r="F5" s="16">
        <f t="shared" ref="F5:F13" si="0">SUM(D5:E5)</f>
        <v>301.31</v>
      </c>
      <c r="G5" s="16"/>
      <c r="H5" s="17"/>
      <c r="I5" s="16">
        <v>-55.8</v>
      </c>
      <c r="J5" s="16">
        <v>356.8</v>
      </c>
      <c r="K5" s="18">
        <f t="shared" ref="K5:K19" si="1">SUM(I5:J5)</f>
        <v>301</v>
      </c>
      <c r="L5" s="19"/>
      <c r="M5" s="19"/>
      <c r="N5" s="18" t="e">
        <f>-SUMIF(#REF!,$C5,#REF!)/1000</f>
        <v>#REF!</v>
      </c>
      <c r="O5" s="18" t="e">
        <f>SUMIF(#REF!,$C5,#REF!)/1000</f>
        <v>#REF!</v>
      </c>
      <c r="P5" s="18" t="e">
        <f t="shared" ref="P5:P12" si="2">O5+N5</f>
        <v>#REF!</v>
      </c>
      <c r="Q5" s="19"/>
      <c r="R5" s="161">
        <v>-54.6</v>
      </c>
      <c r="S5" s="161">
        <v>389.2</v>
      </c>
      <c r="T5" s="161">
        <f t="shared" ref="T5:T12" si="3">S5+R5</f>
        <v>334.59999999999997</v>
      </c>
      <c r="U5" s="19"/>
      <c r="V5" s="326">
        <v>-51.962000000000003</v>
      </c>
      <c r="W5" s="326">
        <v>366.32549999999998</v>
      </c>
      <c r="X5" s="326">
        <f>SUM(V5:W5)</f>
        <v>314.36349999999999</v>
      </c>
      <c r="Y5" s="167"/>
      <c r="Z5" s="168" t="s">
        <v>414</v>
      </c>
      <c r="AA5" s="19"/>
      <c r="AB5" s="165">
        <v>-54</v>
      </c>
      <c r="AC5" s="165">
        <v>370.5</v>
      </c>
      <c r="AD5" s="165">
        <f>SUM(AB5:AC5)</f>
        <v>316.5</v>
      </c>
      <c r="AE5" s="18"/>
      <c r="AG5" s="20"/>
      <c r="AH5" s="20"/>
      <c r="AI5" s="163">
        <v>-51.067020000000007</v>
      </c>
      <c r="AJ5" s="163">
        <v>380.19074999999998</v>
      </c>
      <c r="AK5" s="148">
        <f t="shared" ref="AK5:AK11" si="4">AJ5+AI5</f>
        <v>329.12372999999997</v>
      </c>
      <c r="AL5" s="20"/>
      <c r="AM5" s="20"/>
      <c r="AN5" s="20"/>
      <c r="AO5" s="20"/>
      <c r="AP5" s="338">
        <v>-55</v>
      </c>
      <c r="AQ5" s="338">
        <v>388</v>
      </c>
      <c r="AR5" s="338">
        <f>SUM(AP5:AQ5)</f>
        <v>333</v>
      </c>
      <c r="AS5" s="225"/>
      <c r="AT5" s="279">
        <v>55</v>
      </c>
      <c r="AU5" s="20" t="s">
        <v>450</v>
      </c>
      <c r="AV5" s="20"/>
      <c r="AW5" s="331">
        <v>-57.585000000000001</v>
      </c>
      <c r="AX5" s="331">
        <v>401.49549999999999</v>
      </c>
      <c r="AY5" s="332">
        <f t="shared" ref="AY5:AY11" si="5">AX5+AW5</f>
        <v>343.91050000000001</v>
      </c>
      <c r="AZ5" s="18"/>
      <c r="BA5" s="18"/>
      <c r="BB5" s="20"/>
      <c r="BC5" s="20"/>
      <c r="BD5" s="221" t="e">
        <f>-SUMIF(#REF!,ressources!$C5,#REF!)/1000</f>
        <v>#REF!</v>
      </c>
      <c r="BE5" s="221" t="e">
        <f>SUMIF(#REF!,ressources!$C5,#REF!)/1000</f>
        <v>#REF!</v>
      </c>
      <c r="BF5" s="221" t="e">
        <f t="shared" ref="BF5:BF27" si="6">BE5+BD5</f>
        <v>#REF!</v>
      </c>
      <c r="BG5" s="221" t="e">
        <f>AR5-BF5</f>
        <v>#REF!</v>
      </c>
      <c r="BK5" s="344">
        <v>-57.8</v>
      </c>
      <c r="BL5" s="344">
        <v>407.8</v>
      </c>
      <c r="BM5" s="344">
        <f>SUM(BK5:BL5)</f>
        <v>350</v>
      </c>
      <c r="BN5" s="225"/>
    </row>
    <row r="6" spans="1:66" ht="15" customHeight="1" outlineLevel="1" x14ac:dyDescent="0.25">
      <c r="A6" s="7">
        <v>2</v>
      </c>
      <c r="B6" s="385" t="s">
        <v>15</v>
      </c>
      <c r="C6" s="386" t="s">
        <v>325</v>
      </c>
      <c r="D6" s="16">
        <v>-216</v>
      </c>
      <c r="E6" s="16">
        <v>224.84</v>
      </c>
      <c r="F6" s="16">
        <f t="shared" si="0"/>
        <v>8.8400000000000034</v>
      </c>
      <c r="G6" s="16"/>
      <c r="H6" s="17"/>
      <c r="I6" s="16">
        <v>-194.6</v>
      </c>
      <c r="J6" s="16">
        <v>224.2</v>
      </c>
      <c r="K6" s="18">
        <f t="shared" si="1"/>
        <v>29.599999999999994</v>
      </c>
      <c r="L6" s="19"/>
      <c r="M6" s="19"/>
      <c r="N6" s="18" t="e">
        <f>-SUMIF(#REF!,$C6,#REF!)/1000</f>
        <v>#REF!</v>
      </c>
      <c r="O6" s="18" t="e">
        <f>SUMIF(#REF!,$C6,#REF!)/1000</f>
        <v>#REF!</v>
      </c>
      <c r="P6" s="18" t="e">
        <f t="shared" si="2"/>
        <v>#REF!</v>
      </c>
      <c r="Q6" s="19"/>
      <c r="R6" s="150">
        <v>-245.58199999999999</v>
      </c>
      <c r="S6" s="150">
        <v>274.95600000000002</v>
      </c>
      <c r="T6" s="150">
        <f t="shared" si="3"/>
        <v>29.374000000000024</v>
      </c>
      <c r="U6" s="19"/>
      <c r="V6" s="327">
        <v>-223.64389999999997</v>
      </c>
      <c r="W6" s="327">
        <v>253.09139999999999</v>
      </c>
      <c r="X6" s="327">
        <f t="shared" ref="X6:X12" si="7">SUM(V6:W6)</f>
        <v>29.447500000000019</v>
      </c>
      <c r="Y6" s="169"/>
      <c r="Z6" s="169"/>
      <c r="AA6" s="19"/>
      <c r="AB6" s="154">
        <v>-241</v>
      </c>
      <c r="AC6" s="154">
        <v>270</v>
      </c>
      <c r="AD6" s="154">
        <f>SUM(AB6:AC6)</f>
        <v>29</v>
      </c>
      <c r="AE6" s="18"/>
      <c r="AF6" s="18"/>
      <c r="AG6" s="20"/>
      <c r="AH6" s="20"/>
      <c r="AI6" s="148">
        <v>-246.61019999999999</v>
      </c>
      <c r="AJ6" s="148">
        <v>277.98220000000003</v>
      </c>
      <c r="AK6" s="148">
        <f t="shared" si="4"/>
        <v>31.372000000000043</v>
      </c>
      <c r="AL6" s="20"/>
      <c r="AM6" s="20"/>
      <c r="AN6" s="20"/>
      <c r="AO6" s="20"/>
      <c r="AP6" s="339">
        <v>-267.8</v>
      </c>
      <c r="AQ6" s="339">
        <v>300.89999999999998</v>
      </c>
      <c r="AR6" s="339">
        <f>SUM(AP6:AQ6)</f>
        <v>33.099999999999966</v>
      </c>
      <c r="AS6" s="225"/>
      <c r="AT6" s="263"/>
      <c r="AU6" s="20" t="s">
        <v>451</v>
      </c>
      <c r="AV6" s="20"/>
      <c r="AW6" s="332">
        <v>-277.17330000000004</v>
      </c>
      <c r="AX6" s="332">
        <v>310.77229999999997</v>
      </c>
      <c r="AY6" s="332">
        <f t="shared" si="5"/>
        <v>33.598999999999933</v>
      </c>
      <c r="AZ6" s="18"/>
      <c r="BA6" s="18"/>
      <c r="BB6" s="20"/>
      <c r="BC6" s="20"/>
      <c r="BD6" s="221" t="e">
        <f>-SUMIF(#REF!,ressources!$C6,#REF!)/1000</f>
        <v>#REF!</v>
      </c>
      <c r="BE6" s="221" t="e">
        <f>SUMIF(#REF!,ressources!$C6,#REF!)/1000</f>
        <v>#REF!</v>
      </c>
      <c r="BF6" s="221" t="e">
        <f t="shared" si="6"/>
        <v>#REF!</v>
      </c>
      <c r="BG6" s="221" t="e">
        <f t="shared" ref="BG6:BG26" si="8">AR6-BF6</f>
        <v>#REF!</v>
      </c>
      <c r="BH6" s="143"/>
      <c r="BI6" s="143"/>
      <c r="BJ6" s="143"/>
      <c r="BK6" s="345">
        <v>-283.2</v>
      </c>
      <c r="BL6" s="345">
        <v>318.2</v>
      </c>
      <c r="BM6" s="345">
        <f>SUM(BK6:BL6)</f>
        <v>35</v>
      </c>
      <c r="BN6" s="225"/>
    </row>
    <row r="7" spans="1:66" ht="15" customHeight="1" outlineLevel="1" x14ac:dyDescent="0.25">
      <c r="A7" s="7">
        <v>3</v>
      </c>
      <c r="B7" s="385" t="s">
        <v>16</v>
      </c>
      <c r="C7" s="386" t="s">
        <v>446</v>
      </c>
      <c r="D7" s="16"/>
      <c r="E7" s="16"/>
      <c r="F7" s="16"/>
      <c r="G7" s="16"/>
      <c r="H7" s="17"/>
      <c r="I7" s="16"/>
      <c r="J7" s="16"/>
      <c r="K7" s="18">
        <v>0</v>
      </c>
      <c r="L7" s="19"/>
      <c r="M7" s="19"/>
      <c r="N7" s="18"/>
      <c r="O7" s="18"/>
      <c r="P7" s="18">
        <v>0</v>
      </c>
      <c r="Q7" s="19"/>
      <c r="R7" s="150"/>
      <c r="S7" s="150"/>
      <c r="T7" s="150"/>
      <c r="U7" s="19"/>
      <c r="V7" s="327">
        <v>0</v>
      </c>
      <c r="W7" s="327">
        <v>0</v>
      </c>
      <c r="X7" s="327">
        <f t="shared" si="7"/>
        <v>0</v>
      </c>
      <c r="Y7" s="169"/>
      <c r="Z7" s="169"/>
      <c r="AA7" s="19"/>
      <c r="AB7" s="154">
        <v>-5.5</v>
      </c>
      <c r="AC7" s="154"/>
      <c r="AD7" s="154">
        <f t="shared" ref="AD7:AD8" si="9">SUM(AB7:AC7)</f>
        <v>-5.5</v>
      </c>
      <c r="AE7" s="18"/>
      <c r="AF7" s="18"/>
      <c r="AG7" s="20" t="s">
        <v>411</v>
      </c>
      <c r="AH7" s="20"/>
      <c r="AI7" s="148">
        <v>-5.4859200000000001</v>
      </c>
      <c r="AJ7" s="148">
        <v>0.41894999999999999</v>
      </c>
      <c r="AK7" s="148">
        <f t="shared" si="4"/>
        <v>-5.0669700000000004</v>
      </c>
      <c r="AL7" s="20"/>
      <c r="AM7" s="20"/>
      <c r="AN7" s="20"/>
      <c r="AO7" s="20"/>
      <c r="AP7" s="339">
        <v>-5.5</v>
      </c>
      <c r="AQ7" s="339"/>
      <c r="AR7" s="339">
        <f t="shared" ref="AR7" si="10">SUM(AP7:AQ7)</f>
        <v>-5.5</v>
      </c>
      <c r="AS7" s="225"/>
      <c r="AT7" s="263"/>
      <c r="AU7" s="20"/>
      <c r="AV7" s="20"/>
      <c r="AW7" s="332">
        <v>-5.4859200000000001</v>
      </c>
      <c r="AX7" s="332">
        <v>0</v>
      </c>
      <c r="AY7" s="332">
        <f t="shared" si="5"/>
        <v>-5.4859200000000001</v>
      </c>
      <c r="AZ7" s="18"/>
      <c r="BA7" s="18"/>
      <c r="BB7" s="20"/>
      <c r="BC7" s="20"/>
      <c r="BD7" s="221" t="e">
        <f>-SUMIF(#REF!,ressources!$C7,#REF!)/1000</f>
        <v>#REF!</v>
      </c>
      <c r="BE7" s="221" t="e">
        <f>SUMIF(#REF!,ressources!$C7,#REF!)/1000</f>
        <v>#REF!</v>
      </c>
      <c r="BF7" s="221" t="e">
        <f t="shared" si="6"/>
        <v>#REF!</v>
      </c>
      <c r="BG7" s="221" t="e">
        <f t="shared" si="8"/>
        <v>#REF!</v>
      </c>
      <c r="BH7" s="144"/>
      <c r="BI7" s="144"/>
      <c r="BJ7" s="144"/>
      <c r="BK7" s="345">
        <v>-5.5</v>
      </c>
      <c r="BL7" s="345"/>
      <c r="BM7" s="345">
        <f t="shared" ref="BM7" si="11">SUM(BK7:BL7)</f>
        <v>-5.5</v>
      </c>
      <c r="BN7" s="225"/>
    </row>
    <row r="8" spans="1:66" ht="15" customHeight="1" outlineLevel="1" x14ac:dyDescent="0.25">
      <c r="A8" s="7">
        <v>4</v>
      </c>
      <c r="B8" s="385" t="s">
        <v>17</v>
      </c>
      <c r="C8" s="386" t="s">
        <v>447</v>
      </c>
      <c r="D8" s="16"/>
      <c r="E8" s="16"/>
      <c r="F8" s="16"/>
      <c r="G8" s="16"/>
      <c r="H8" s="17"/>
      <c r="I8" s="16"/>
      <c r="J8" s="16"/>
      <c r="K8" s="18">
        <v>0</v>
      </c>
      <c r="L8" s="19"/>
      <c r="M8" s="19"/>
      <c r="N8" s="18"/>
      <c r="O8" s="18"/>
      <c r="P8" s="18">
        <v>0</v>
      </c>
      <c r="Q8" s="19"/>
      <c r="R8" s="150"/>
      <c r="S8" s="150"/>
      <c r="T8" s="150"/>
      <c r="U8" s="19"/>
      <c r="V8" s="327">
        <v>0</v>
      </c>
      <c r="W8" s="327">
        <v>0</v>
      </c>
      <c r="X8" s="327">
        <f t="shared" si="7"/>
        <v>0</v>
      </c>
      <c r="Y8" s="169"/>
      <c r="Z8" s="169"/>
      <c r="AA8" s="19"/>
      <c r="AB8" s="154"/>
      <c r="AC8" s="154">
        <v>3.5</v>
      </c>
      <c r="AD8" s="154">
        <f t="shared" si="9"/>
        <v>3.5</v>
      </c>
      <c r="AE8" s="18"/>
      <c r="AF8" s="18"/>
      <c r="AG8" s="20"/>
      <c r="AH8" s="20"/>
      <c r="AI8" s="148">
        <v>0</v>
      </c>
      <c r="AJ8" s="148">
        <v>0.63251999999999997</v>
      </c>
      <c r="AK8" s="148">
        <f t="shared" si="4"/>
        <v>0.63251999999999997</v>
      </c>
      <c r="AL8" s="20"/>
      <c r="AM8" s="20"/>
      <c r="AN8" s="20"/>
      <c r="AO8" s="20"/>
      <c r="AP8" s="339"/>
      <c r="AQ8" s="339">
        <v>3.5</v>
      </c>
      <c r="AR8" s="339">
        <f>SUM(AP8:AQ8)</f>
        <v>3.5</v>
      </c>
      <c r="AS8" s="225"/>
      <c r="AT8" s="263"/>
      <c r="AU8" s="20" t="s">
        <v>452</v>
      </c>
      <c r="AV8" s="20"/>
      <c r="AW8" s="332">
        <v>-6.3E-2</v>
      </c>
      <c r="AX8" s="332">
        <v>0.70420000000000005</v>
      </c>
      <c r="AY8" s="332">
        <f t="shared" si="5"/>
        <v>0.64119999999999999</v>
      </c>
      <c r="AZ8" s="18"/>
      <c r="BA8" s="18"/>
      <c r="BB8" s="20"/>
      <c r="BC8" s="20"/>
      <c r="BD8" s="221" t="e">
        <f>-SUMIF(#REF!,ressources!$C8,#REF!)/1000</f>
        <v>#REF!</v>
      </c>
      <c r="BE8" s="221" t="e">
        <f>SUMIF(#REF!,ressources!$C8,#REF!)/1000</f>
        <v>#REF!</v>
      </c>
      <c r="BF8" s="221" t="e">
        <f t="shared" si="6"/>
        <v>#REF!</v>
      </c>
      <c r="BG8" s="221" t="e">
        <f t="shared" si="8"/>
        <v>#REF!</v>
      </c>
      <c r="BH8" s="144"/>
      <c r="BI8" s="144"/>
      <c r="BJ8" s="144"/>
      <c r="BK8" s="345"/>
      <c r="BL8" s="345">
        <v>3.5</v>
      </c>
      <c r="BM8" s="345">
        <f>SUM(BK8:BL8)</f>
        <v>3.5</v>
      </c>
      <c r="BN8" s="225"/>
    </row>
    <row r="9" spans="1:66" ht="15" customHeight="1" outlineLevel="1" x14ac:dyDescent="0.25">
      <c r="A9" s="7">
        <v>5</v>
      </c>
      <c r="B9" s="385" t="s">
        <v>18</v>
      </c>
      <c r="C9" s="386" t="s">
        <v>326</v>
      </c>
      <c r="D9" s="16">
        <v>0</v>
      </c>
      <c r="E9" s="16">
        <v>35</v>
      </c>
      <c r="F9" s="16">
        <f t="shared" si="0"/>
        <v>35</v>
      </c>
      <c r="G9" s="16"/>
      <c r="H9" s="17"/>
      <c r="I9" s="16">
        <v>0</v>
      </c>
      <c r="J9" s="16">
        <v>30</v>
      </c>
      <c r="K9" s="18">
        <f t="shared" si="1"/>
        <v>30</v>
      </c>
      <c r="L9" s="19"/>
      <c r="M9" s="19"/>
      <c r="N9" s="18" t="e">
        <f>-SUMIF(#REF!,$C9,#REF!)/1000</f>
        <v>#REF!</v>
      </c>
      <c r="O9" s="18" t="e">
        <f>SUMIF(#REF!,$C9,#REF!)/1000</f>
        <v>#REF!</v>
      </c>
      <c r="P9" s="18" t="e">
        <f t="shared" si="2"/>
        <v>#REF!</v>
      </c>
      <c r="Q9" s="19"/>
      <c r="R9" s="150">
        <v>0</v>
      </c>
      <c r="S9" s="150">
        <v>35</v>
      </c>
      <c r="T9" s="150">
        <f t="shared" si="3"/>
        <v>35</v>
      </c>
      <c r="U9" s="19"/>
      <c r="V9" s="327">
        <v>-7.6E-3</v>
      </c>
      <c r="W9" s="327">
        <v>19.422499999999999</v>
      </c>
      <c r="X9" s="327">
        <f>SUM(V9:W9)</f>
        <v>19.414899999999999</v>
      </c>
      <c r="Y9" s="169"/>
      <c r="Z9" s="169"/>
      <c r="AA9" s="19"/>
      <c r="AB9" s="154"/>
      <c r="AC9" s="154">
        <v>23</v>
      </c>
      <c r="AD9" s="154">
        <f>SUM(AB9:AC9)</f>
        <v>23</v>
      </c>
      <c r="AE9" s="18"/>
      <c r="AF9" s="18"/>
      <c r="AG9" s="20"/>
      <c r="AH9" s="20"/>
      <c r="AI9" s="148">
        <v>-8.2000000000000003E-2</v>
      </c>
      <c r="AJ9" s="148">
        <v>24.588100000000001</v>
      </c>
      <c r="AK9" s="148">
        <f t="shared" si="4"/>
        <v>24.5061</v>
      </c>
      <c r="AL9" s="20"/>
      <c r="AM9" s="20"/>
      <c r="AN9" s="20"/>
      <c r="AO9" s="20"/>
      <c r="AP9" s="339"/>
      <c r="AQ9" s="339">
        <v>26</v>
      </c>
      <c r="AR9" s="339">
        <f>SUM(AP9:AQ9)</f>
        <v>26</v>
      </c>
      <c r="AS9" s="225"/>
      <c r="AT9" s="263"/>
      <c r="AU9" s="20" t="s">
        <v>454</v>
      </c>
      <c r="AV9" s="20"/>
      <c r="AW9" s="332">
        <v>0</v>
      </c>
      <c r="AX9" s="332">
        <v>30.661099999999998</v>
      </c>
      <c r="AY9" s="332">
        <f t="shared" si="5"/>
        <v>30.661099999999998</v>
      </c>
      <c r="AZ9" s="18"/>
      <c r="BA9" s="18"/>
      <c r="BB9" s="20"/>
      <c r="BC9" s="20"/>
      <c r="BD9" s="221" t="e">
        <f>-SUMIF(#REF!,ressources!$C9,#REF!)/1000</f>
        <v>#REF!</v>
      </c>
      <c r="BE9" s="221" t="e">
        <f>SUMIF(#REF!,ressources!$C9,#REF!)/1000</f>
        <v>#REF!</v>
      </c>
      <c r="BF9" s="221" t="e">
        <f t="shared" si="6"/>
        <v>#REF!</v>
      </c>
      <c r="BG9" s="221" t="e">
        <f t="shared" si="8"/>
        <v>#REF!</v>
      </c>
      <c r="BH9" s="144"/>
      <c r="BI9" s="144"/>
      <c r="BJ9" s="144"/>
      <c r="BK9" s="345"/>
      <c r="BL9" s="345">
        <v>30</v>
      </c>
      <c r="BM9" s="345">
        <f>SUM(BK9:BL9)</f>
        <v>30</v>
      </c>
      <c r="BN9" s="225"/>
    </row>
    <row r="10" spans="1:66" ht="15" customHeight="1" outlineLevel="1" x14ac:dyDescent="0.25">
      <c r="A10" s="7">
        <v>6</v>
      </c>
      <c r="B10" s="385" t="s">
        <v>19</v>
      </c>
      <c r="C10" s="386" t="s">
        <v>328</v>
      </c>
      <c r="D10" s="16">
        <v>-32.11</v>
      </c>
      <c r="E10" s="16">
        <v>0</v>
      </c>
      <c r="F10" s="16">
        <f t="shared" si="0"/>
        <v>-32.11</v>
      </c>
      <c r="G10" s="16"/>
      <c r="H10" s="17"/>
      <c r="I10" s="16">
        <v>-43.4</v>
      </c>
      <c r="J10" s="16">
        <v>0</v>
      </c>
      <c r="K10" s="18">
        <f t="shared" si="1"/>
        <v>-43.4</v>
      </c>
      <c r="L10" s="19"/>
      <c r="M10" s="19"/>
      <c r="N10" s="18" t="e">
        <f>-SUMIF(#REF!,$C10,#REF!)/1000</f>
        <v>#REF!</v>
      </c>
      <c r="O10" s="18" t="e">
        <f>SUMIF(#REF!,$C10,#REF!)/1000</f>
        <v>#REF!</v>
      </c>
      <c r="P10" s="18" t="e">
        <f t="shared" si="2"/>
        <v>#REF!</v>
      </c>
      <c r="Q10" s="19"/>
      <c r="R10" s="150">
        <v>-43.4</v>
      </c>
      <c r="S10" s="150">
        <v>0</v>
      </c>
      <c r="T10" s="150">
        <f t="shared" si="3"/>
        <v>-43.4</v>
      </c>
      <c r="U10" s="19"/>
      <c r="V10" s="327">
        <v>-44.463349999999998</v>
      </c>
      <c r="W10" s="327">
        <v>0</v>
      </c>
      <c r="X10" s="327">
        <f t="shared" si="7"/>
        <v>-44.463349999999998</v>
      </c>
      <c r="Y10" s="169"/>
      <c r="Z10" s="169"/>
      <c r="AA10" s="19"/>
      <c r="AB10" s="154">
        <v>-41</v>
      </c>
      <c r="AC10" s="154"/>
      <c r="AD10" s="154">
        <f>SUM(AB10:AC10)</f>
        <v>-41</v>
      </c>
      <c r="AE10" s="18"/>
      <c r="AF10" s="18"/>
      <c r="AG10" s="20" t="s">
        <v>410</v>
      </c>
      <c r="AH10" s="20"/>
      <c r="AI10" s="148">
        <v>-32.089849999999998</v>
      </c>
      <c r="AJ10" s="148">
        <v>0</v>
      </c>
      <c r="AK10" s="148">
        <f t="shared" si="4"/>
        <v>-32.089849999999998</v>
      </c>
      <c r="AL10" s="20"/>
      <c r="AM10" s="20"/>
      <c r="AN10" s="20"/>
      <c r="AO10" s="20"/>
      <c r="AP10" s="339">
        <v>-33</v>
      </c>
      <c r="AQ10" s="339"/>
      <c r="AR10" s="339">
        <f>SUM(AP10:AQ10)</f>
        <v>-33</v>
      </c>
      <c r="AS10" s="225"/>
      <c r="AT10" s="263"/>
      <c r="AU10" s="20" t="s">
        <v>453</v>
      </c>
      <c r="AV10" s="20"/>
      <c r="AW10" s="332">
        <v>-34.604949999999995</v>
      </c>
      <c r="AX10" s="332">
        <v>0</v>
      </c>
      <c r="AY10" s="332">
        <f t="shared" si="5"/>
        <v>-34.604949999999995</v>
      </c>
      <c r="AZ10" s="18"/>
      <c r="BA10" s="18"/>
      <c r="BB10" s="20"/>
      <c r="BC10" s="20"/>
      <c r="BD10" s="221" t="e">
        <f>-SUMIF(#REF!,ressources!$C10,#REF!)/1000</f>
        <v>#REF!</v>
      </c>
      <c r="BE10" s="221" t="e">
        <f>SUMIF(#REF!,ressources!$C10,#REF!)/1000</f>
        <v>#REF!</v>
      </c>
      <c r="BF10" s="221" t="e">
        <f t="shared" si="6"/>
        <v>#REF!</v>
      </c>
      <c r="BG10" s="221" t="e">
        <f t="shared" si="8"/>
        <v>#REF!</v>
      </c>
      <c r="BH10" s="144"/>
      <c r="BI10" s="144"/>
      <c r="BJ10" s="144"/>
      <c r="BK10" s="345">
        <f>-35-5</f>
        <v>-40</v>
      </c>
      <c r="BL10" s="345"/>
      <c r="BM10" s="345">
        <f>SUM(BK10:BL10)</f>
        <v>-40</v>
      </c>
      <c r="BN10" s="225"/>
    </row>
    <row r="11" spans="1:66" ht="15" hidden="1" customHeight="1" outlineLevel="2" x14ac:dyDescent="0.25">
      <c r="A11" s="7">
        <f t="shared" ref="A11:A24" si="12">LigneVisible(B11)-4</f>
        <v>6</v>
      </c>
      <c r="B11" s="385" t="s">
        <v>20</v>
      </c>
      <c r="C11" s="386">
        <v>121</v>
      </c>
      <c r="D11" s="16">
        <v>-9</v>
      </c>
      <c r="E11" s="16">
        <v>0</v>
      </c>
      <c r="F11" s="16">
        <f t="shared" si="0"/>
        <v>-9</v>
      </c>
      <c r="G11" s="16"/>
      <c r="H11" s="17"/>
      <c r="I11" s="16">
        <v>0</v>
      </c>
      <c r="J11" s="16">
        <v>0</v>
      </c>
      <c r="K11" s="18">
        <f t="shared" si="1"/>
        <v>0</v>
      </c>
      <c r="L11" s="19"/>
      <c r="M11" s="19"/>
      <c r="N11" s="18" t="e">
        <f>-SUMIF(#REF!,$C11,#REF!)/1000</f>
        <v>#REF!</v>
      </c>
      <c r="O11" s="18" t="e">
        <f>SUMIF(#REF!,$C11,#REF!)/1000</f>
        <v>#REF!</v>
      </c>
      <c r="P11" s="18" t="e">
        <f t="shared" si="2"/>
        <v>#REF!</v>
      </c>
      <c r="Q11" s="19"/>
      <c r="R11" s="150">
        <v>0</v>
      </c>
      <c r="S11" s="150">
        <v>0</v>
      </c>
      <c r="T11" s="150">
        <f t="shared" si="3"/>
        <v>0</v>
      </c>
      <c r="U11" s="19"/>
      <c r="V11" s="327">
        <v>0</v>
      </c>
      <c r="W11" s="327">
        <v>0</v>
      </c>
      <c r="X11" s="327">
        <f t="shared" si="7"/>
        <v>0</v>
      </c>
      <c r="Y11" s="169"/>
      <c r="Z11" s="169"/>
      <c r="AA11" s="19"/>
      <c r="AB11" s="154"/>
      <c r="AC11" s="154"/>
      <c r="AD11" s="154">
        <f>SUM(AB11:AC11)</f>
        <v>0</v>
      </c>
      <c r="AE11" s="18"/>
      <c r="AF11" s="18"/>
      <c r="AG11" s="20"/>
      <c r="AH11" s="20"/>
      <c r="AI11" s="148">
        <v>0</v>
      </c>
      <c r="AJ11" s="148">
        <v>0</v>
      </c>
      <c r="AK11" s="148">
        <f t="shared" si="4"/>
        <v>0</v>
      </c>
      <c r="AL11" s="20"/>
      <c r="AM11" s="20"/>
      <c r="AN11" s="20"/>
      <c r="AO11" s="20"/>
      <c r="AP11" s="339"/>
      <c r="AQ11" s="339"/>
      <c r="AR11" s="339"/>
      <c r="AS11" s="225"/>
      <c r="AT11" s="263"/>
      <c r="AU11" s="20"/>
      <c r="AV11" s="20"/>
      <c r="AW11" s="332">
        <v>0</v>
      </c>
      <c r="AX11" s="332">
        <v>0</v>
      </c>
      <c r="AY11" s="332">
        <f t="shared" si="5"/>
        <v>0</v>
      </c>
      <c r="AZ11" s="18"/>
      <c r="BA11" s="18"/>
      <c r="BB11" s="20"/>
      <c r="BC11" s="20"/>
      <c r="BD11" s="221" t="e">
        <f>-SUMIF(#REF!,ressources!$C11,#REF!)/1000</f>
        <v>#REF!</v>
      </c>
      <c r="BE11" s="221" t="e">
        <f>SUMIF(#REF!,ressources!$C11,#REF!)/1000</f>
        <v>#REF!</v>
      </c>
      <c r="BF11" s="221" t="e">
        <f t="shared" si="6"/>
        <v>#REF!</v>
      </c>
      <c r="BG11" s="221" t="e">
        <f t="shared" si="8"/>
        <v>#REF!</v>
      </c>
      <c r="BH11" s="145"/>
      <c r="BI11" s="145"/>
      <c r="BJ11" s="145"/>
      <c r="BK11" s="345"/>
      <c r="BL11" s="345"/>
      <c r="BM11" s="345"/>
      <c r="BN11" s="225"/>
    </row>
    <row r="12" spans="1:66" ht="15" customHeight="1" outlineLevel="1" collapsed="1" x14ac:dyDescent="0.25">
      <c r="A12" s="7">
        <v>7</v>
      </c>
      <c r="B12" s="385" t="s">
        <v>21</v>
      </c>
      <c r="C12" s="386" t="s">
        <v>327</v>
      </c>
      <c r="D12" s="16"/>
      <c r="E12" s="16"/>
      <c r="F12" s="16"/>
      <c r="G12" s="16"/>
      <c r="H12" s="17"/>
      <c r="I12" s="16">
        <v>-25.2</v>
      </c>
      <c r="J12" s="16">
        <v>0</v>
      </c>
      <c r="K12" s="18">
        <f t="shared" si="1"/>
        <v>-25.2</v>
      </c>
      <c r="L12" s="19"/>
      <c r="M12" s="19"/>
      <c r="N12" s="18" t="e">
        <f>-SUMIF(#REF!,$C12,#REF!)/1000</f>
        <v>#REF!</v>
      </c>
      <c r="O12" s="18" t="e">
        <f>SUMIF(#REF!,$C12,#REF!)/1000</f>
        <v>#REF!</v>
      </c>
      <c r="P12" s="18" t="e">
        <f t="shared" si="2"/>
        <v>#REF!</v>
      </c>
      <c r="Q12" s="19"/>
      <c r="R12" s="150">
        <v>-25.2</v>
      </c>
      <c r="S12" s="150"/>
      <c r="T12" s="150">
        <f t="shared" si="3"/>
        <v>-25.2</v>
      </c>
      <c r="U12" s="19"/>
      <c r="V12" s="327">
        <v>-25.2</v>
      </c>
      <c r="W12" s="327">
        <v>0</v>
      </c>
      <c r="X12" s="327">
        <f t="shared" si="7"/>
        <v>-25.2</v>
      </c>
      <c r="Y12" s="169"/>
      <c r="Z12" s="169"/>
      <c r="AA12" s="19"/>
      <c r="AB12" s="154">
        <v>-25.3</v>
      </c>
      <c r="AC12" s="154"/>
      <c r="AD12" s="154">
        <f>SUM(AB12:AC12)</f>
        <v>-25.3</v>
      </c>
      <c r="AE12" s="18"/>
      <c r="AF12" s="18"/>
      <c r="AG12" s="20"/>
      <c r="AH12" s="20"/>
      <c r="AI12" s="148">
        <v>-25.2</v>
      </c>
      <c r="AJ12" s="148">
        <v>0</v>
      </c>
      <c r="AK12" s="148">
        <f>AJ12+AI12</f>
        <v>-25.2</v>
      </c>
      <c r="AL12" s="20"/>
      <c r="AM12" s="20"/>
      <c r="AN12" s="20"/>
      <c r="AO12" s="20"/>
      <c r="AP12" s="339">
        <v>-25.3</v>
      </c>
      <c r="AQ12" s="339"/>
      <c r="AR12" s="339">
        <f>SUM(AP12:AQ12)</f>
        <v>-25.3</v>
      </c>
      <c r="AS12" s="225"/>
      <c r="AT12" s="263"/>
      <c r="AU12" s="20"/>
      <c r="AV12" s="20"/>
      <c r="AW12" s="332">
        <v>-25.2</v>
      </c>
      <c r="AX12" s="332">
        <v>0</v>
      </c>
      <c r="AY12" s="332">
        <f>AX12+AW12</f>
        <v>-25.2</v>
      </c>
      <c r="AZ12" s="18"/>
      <c r="BA12" s="18"/>
      <c r="BB12" s="20"/>
      <c r="BC12" s="20"/>
      <c r="BD12" s="221" t="e">
        <f>-SUMIF(#REF!,ressources!$C12,#REF!)/1000</f>
        <v>#REF!</v>
      </c>
      <c r="BE12" s="221" t="e">
        <f>SUMIF(#REF!,ressources!$C12,#REF!)/1000</f>
        <v>#REF!</v>
      </c>
      <c r="BF12" s="221" t="e">
        <f t="shared" si="6"/>
        <v>#REF!</v>
      </c>
      <c r="BG12" s="221" t="e">
        <f t="shared" si="8"/>
        <v>#REF!</v>
      </c>
      <c r="BK12" s="345">
        <v>-25.3</v>
      </c>
      <c r="BL12" s="345"/>
      <c r="BM12" s="345">
        <f>SUM(BK12:BL12)</f>
        <v>-25.3</v>
      </c>
      <c r="BN12" s="225"/>
    </row>
    <row r="13" spans="1:66" ht="15" customHeight="1" x14ac:dyDescent="0.25">
      <c r="A13" s="7">
        <v>8</v>
      </c>
      <c r="B13" s="387" t="s">
        <v>22</v>
      </c>
      <c r="C13" s="388"/>
      <c r="D13" s="23">
        <f>SUM(D5:D11)</f>
        <v>-307.8</v>
      </c>
      <c r="E13" s="23">
        <f>SUM(E5:E11)</f>
        <v>611.84</v>
      </c>
      <c r="F13" s="23">
        <f t="shared" si="0"/>
        <v>304.04000000000002</v>
      </c>
      <c r="G13" s="136"/>
      <c r="H13" s="24"/>
      <c r="I13" s="23">
        <f>SUM(I5:I12)</f>
        <v>-318.99999999999994</v>
      </c>
      <c r="J13" s="23">
        <f>SUM(J5:J12)</f>
        <v>611</v>
      </c>
      <c r="K13" s="25">
        <f t="shared" si="1"/>
        <v>292.00000000000006</v>
      </c>
      <c r="L13" s="19"/>
      <c r="M13" s="19"/>
      <c r="N13" s="25" t="e">
        <f>SUM(N5:N12)</f>
        <v>#REF!</v>
      </c>
      <c r="O13" s="25" t="e">
        <f>SUM(O5:O12)</f>
        <v>#REF!</v>
      </c>
      <c r="P13" s="25" t="e">
        <f>SUM(P5:P12)</f>
        <v>#REF!</v>
      </c>
      <c r="Q13" s="19"/>
      <c r="R13" s="152">
        <f>SUM(R5:R12)</f>
        <v>-368.78199999999998</v>
      </c>
      <c r="S13" s="152">
        <f>SUM(S5:S12)</f>
        <v>699.15599999999995</v>
      </c>
      <c r="T13" s="152">
        <f>SUM(T5:T12)</f>
        <v>330.37400000000002</v>
      </c>
      <c r="U13" s="19"/>
      <c r="V13" s="328">
        <f>SUM(V5:V12)</f>
        <v>-345.27684999999997</v>
      </c>
      <c r="W13" s="328">
        <f>SUM(W5:W12)</f>
        <v>638.83939999999996</v>
      </c>
      <c r="X13" s="328">
        <f>SUM(X5:X12)</f>
        <v>293.56255000000004</v>
      </c>
      <c r="Y13" s="170"/>
      <c r="Z13" s="170">
        <f t="shared" ref="Z13" si="13">SUM(Z5:Z12)</f>
        <v>0</v>
      </c>
      <c r="AA13" s="19"/>
      <c r="AB13" s="155">
        <f>SUM(AB5:AB12)</f>
        <v>-366.8</v>
      </c>
      <c r="AC13" s="155">
        <f>SUM(AC5:AC12)</f>
        <v>667</v>
      </c>
      <c r="AD13" s="155">
        <f>SUM(AD5:AD12)</f>
        <v>300.2</v>
      </c>
      <c r="AE13" s="25"/>
      <c r="AF13" s="25">
        <f>SUM(AF4:AF12)</f>
        <v>0</v>
      </c>
      <c r="AG13" s="26"/>
      <c r="AH13" s="81"/>
      <c r="AI13" s="149">
        <f>SUM(AI5:AI12)</f>
        <v>-360.53498999999999</v>
      </c>
      <c r="AJ13" s="149">
        <f>SUM(AJ5:AJ12)</f>
        <v>683.81252000000006</v>
      </c>
      <c r="AK13" s="149">
        <f>AI13+AJ13</f>
        <v>323.27753000000007</v>
      </c>
      <c r="AL13" s="81"/>
      <c r="AM13" s="81"/>
      <c r="AN13" s="81"/>
      <c r="AO13" s="81"/>
      <c r="AP13" s="340">
        <f>SUM(AP5:AP12)</f>
        <v>-386.6</v>
      </c>
      <c r="AQ13" s="340">
        <f>SUM(AQ5:AQ12)</f>
        <v>718.4</v>
      </c>
      <c r="AR13" s="340">
        <f>SUM(AR5:AR12)</f>
        <v>331.79999999999995</v>
      </c>
      <c r="AS13" s="226"/>
      <c r="AT13" s="25">
        <f>SUM(AT5:AT12)</f>
        <v>55</v>
      </c>
      <c r="AU13" s="81"/>
      <c r="AV13" s="81"/>
      <c r="AW13" s="333">
        <f>SUM(AW5:AW12)</f>
        <v>-400.11216999999999</v>
      </c>
      <c r="AX13" s="333">
        <f>SUM(AX5:AX12)</f>
        <v>743.63310000000001</v>
      </c>
      <c r="AY13" s="333">
        <f>AW13+AX13</f>
        <v>343.52093000000002</v>
      </c>
      <c r="AZ13" s="122"/>
      <c r="BA13" s="122"/>
      <c r="BB13" s="81"/>
      <c r="BC13" s="81"/>
      <c r="BD13" s="227" t="e">
        <f>SUM(BD5:BD12)</f>
        <v>#REF!</v>
      </c>
      <c r="BE13" s="227" t="e">
        <f>SUM(BE5:BE12)</f>
        <v>#REF!</v>
      </c>
      <c r="BF13" s="227" t="e">
        <f t="shared" si="6"/>
        <v>#REF!</v>
      </c>
      <c r="BG13" s="221" t="e">
        <f t="shared" si="8"/>
        <v>#REF!</v>
      </c>
      <c r="BH13" s="142"/>
      <c r="BI13" s="142"/>
      <c r="BJ13" s="142"/>
      <c r="BK13" s="346">
        <f>SUM(BK5:BK12)</f>
        <v>-411.8</v>
      </c>
      <c r="BL13" s="346">
        <f>SUM(BL5:BL12)</f>
        <v>759.5</v>
      </c>
      <c r="BM13" s="346">
        <f>SUM(BM5:BM12)</f>
        <v>347.7</v>
      </c>
      <c r="BN13" s="226"/>
    </row>
    <row r="14" spans="1:66" ht="15" customHeight="1" outlineLevel="1" x14ac:dyDescent="0.25">
      <c r="A14" s="7">
        <v>9</v>
      </c>
      <c r="B14" s="385" t="s">
        <v>23</v>
      </c>
      <c r="C14" s="386" t="s">
        <v>329</v>
      </c>
      <c r="D14" s="16">
        <v>0</v>
      </c>
      <c r="E14" s="16">
        <v>195.5</v>
      </c>
      <c r="F14" s="16">
        <f>SUM(D14:E14)</f>
        <v>195.5</v>
      </c>
      <c r="G14" s="16"/>
      <c r="H14" s="24"/>
      <c r="I14" s="16">
        <v>0</v>
      </c>
      <c r="J14" s="16">
        <v>215</v>
      </c>
      <c r="K14" s="18">
        <f t="shared" si="1"/>
        <v>215</v>
      </c>
      <c r="L14" s="19"/>
      <c r="M14" s="19"/>
      <c r="N14" s="18" t="e">
        <f>-SUMIF(#REF!,$C14,#REF!)/1000</f>
        <v>#REF!</v>
      </c>
      <c r="O14" s="18" t="e">
        <f>SUMIF(#REF!,$C14,#REF!)/1000</f>
        <v>#REF!</v>
      </c>
      <c r="P14" s="18" t="e">
        <f t="shared" ref="P14:P19" si="14">O14+N14</f>
        <v>#REF!</v>
      </c>
      <c r="Q14" s="19"/>
      <c r="R14" s="150">
        <v>0</v>
      </c>
      <c r="S14" s="150">
        <v>200</v>
      </c>
      <c r="T14" s="150">
        <f t="shared" ref="T14:T19" si="15">S14+R14</f>
        <v>200</v>
      </c>
      <c r="U14" s="19"/>
      <c r="V14" s="327">
        <v>0</v>
      </c>
      <c r="W14" s="327">
        <v>200</v>
      </c>
      <c r="X14" s="327">
        <f t="shared" ref="X14:X19" si="16">SUM(V14:W14)</f>
        <v>200</v>
      </c>
      <c r="Y14" s="169"/>
      <c r="Z14" s="169">
        <v>200</v>
      </c>
      <c r="AA14" s="19"/>
      <c r="AB14" s="154">
        <v>0</v>
      </c>
      <c r="AC14" s="154">
        <v>200</v>
      </c>
      <c r="AD14" s="154">
        <f t="shared" ref="AD14:AD19" si="17">SUM(AB14:AC14)</f>
        <v>200</v>
      </c>
      <c r="AE14" s="18"/>
      <c r="AF14" s="19">
        <v>200</v>
      </c>
      <c r="AG14" s="20"/>
      <c r="AH14" s="20"/>
      <c r="AI14" s="148">
        <v>0</v>
      </c>
      <c r="AJ14" s="148">
        <v>247</v>
      </c>
      <c r="AK14" s="148">
        <f t="shared" ref="AK14:AK27" si="18">AI14+AJ14</f>
        <v>247</v>
      </c>
      <c r="AL14" s="20"/>
      <c r="AM14" s="20"/>
      <c r="AN14" s="20"/>
      <c r="AO14" s="20"/>
      <c r="AP14" s="339"/>
      <c r="AQ14" s="339">
        <v>200</v>
      </c>
      <c r="AR14" s="339">
        <f t="shared" ref="AR14:AR15" si="19">SUM(AP14:AQ14)</f>
        <v>200</v>
      </c>
      <c r="AS14" s="225"/>
      <c r="AT14" s="19">
        <v>200</v>
      </c>
      <c r="AU14" s="20" t="s">
        <v>455</v>
      </c>
      <c r="AV14" s="20"/>
      <c r="AW14" s="332">
        <v>0</v>
      </c>
      <c r="AX14" s="332">
        <v>230</v>
      </c>
      <c r="AY14" s="332">
        <f t="shared" ref="AY14:AY24" si="20">AW14+AX14</f>
        <v>230</v>
      </c>
      <c r="AZ14" s="18"/>
      <c r="BA14" s="18"/>
      <c r="BB14" s="20"/>
      <c r="BC14" s="20"/>
      <c r="BD14" s="221" t="e">
        <f>-SUMIF(#REF!,ressources!$C14,#REF!)/1000</f>
        <v>#REF!</v>
      </c>
      <c r="BE14" s="221" t="e">
        <f>SUMIF(#REF!,ressources!$C14,#REF!)/1000</f>
        <v>#REF!</v>
      </c>
      <c r="BF14" s="221" t="e">
        <f t="shared" si="6"/>
        <v>#REF!</v>
      </c>
      <c r="BG14" s="221" t="e">
        <f t="shared" si="8"/>
        <v>#REF!</v>
      </c>
      <c r="BH14" s="142"/>
      <c r="BI14" s="142"/>
      <c r="BJ14" s="142"/>
      <c r="BK14" s="345"/>
      <c r="BL14" s="345">
        <v>200</v>
      </c>
      <c r="BM14" s="345">
        <f t="shared" ref="BM14:BM16" si="21">SUM(BK14:BL14)</f>
        <v>200</v>
      </c>
      <c r="BN14" s="225"/>
    </row>
    <row r="15" spans="1:66" ht="15" customHeight="1" outlineLevel="1" x14ac:dyDescent="0.25">
      <c r="A15" s="7">
        <v>10</v>
      </c>
      <c r="B15" s="385" t="s">
        <v>24</v>
      </c>
      <c r="C15" s="386" t="s">
        <v>330</v>
      </c>
      <c r="D15" s="16">
        <v>0</v>
      </c>
      <c r="E15" s="16">
        <v>15</v>
      </c>
      <c r="F15" s="16">
        <f>SUM(D15:E15)</f>
        <v>15</v>
      </c>
      <c r="G15" s="16"/>
      <c r="H15" s="24"/>
      <c r="I15" s="16">
        <v>0</v>
      </c>
      <c r="J15" s="16">
        <v>13</v>
      </c>
      <c r="K15" s="18">
        <f t="shared" si="1"/>
        <v>13</v>
      </c>
      <c r="L15" s="19"/>
      <c r="M15" s="19"/>
      <c r="N15" s="18" t="e">
        <f>-SUMIF(#REF!,$C15,#REF!)/1000</f>
        <v>#REF!</v>
      </c>
      <c r="O15" s="18" t="e">
        <f>SUMIF(#REF!,$C15,#REF!)/1000</f>
        <v>#REF!</v>
      </c>
      <c r="P15" s="18" t="e">
        <f t="shared" si="14"/>
        <v>#REF!</v>
      </c>
      <c r="Q15" s="19"/>
      <c r="R15" s="150">
        <v>0</v>
      </c>
      <c r="S15" s="150">
        <v>15</v>
      </c>
      <c r="T15" s="150">
        <f t="shared" si="15"/>
        <v>15</v>
      </c>
      <c r="U15" s="19"/>
      <c r="V15" s="327">
        <v>0</v>
      </c>
      <c r="W15" s="327">
        <v>15</v>
      </c>
      <c r="X15" s="327">
        <f t="shared" si="16"/>
        <v>15</v>
      </c>
      <c r="Y15" s="169"/>
      <c r="Z15" s="169"/>
      <c r="AA15" s="19"/>
      <c r="AB15" s="154"/>
      <c r="AC15" s="154">
        <v>17</v>
      </c>
      <c r="AD15" s="154">
        <f t="shared" si="17"/>
        <v>17</v>
      </c>
      <c r="AE15" s="18"/>
      <c r="AF15" s="18"/>
      <c r="AG15" s="20" t="s">
        <v>409</v>
      </c>
      <c r="AH15" s="20"/>
      <c r="AI15" s="148">
        <v>0</v>
      </c>
      <c r="AJ15" s="148">
        <v>13</v>
      </c>
      <c r="AK15" s="148">
        <f t="shared" si="18"/>
        <v>13</v>
      </c>
      <c r="AL15" s="20"/>
      <c r="AM15" s="20"/>
      <c r="AN15" s="20"/>
      <c r="AO15" s="20"/>
      <c r="AP15" s="339"/>
      <c r="AQ15" s="339">
        <v>15</v>
      </c>
      <c r="AR15" s="339">
        <f t="shared" si="19"/>
        <v>15</v>
      </c>
      <c r="AS15" s="225"/>
      <c r="AT15" s="18"/>
      <c r="AU15" s="20" t="s">
        <v>456</v>
      </c>
      <c r="AV15" s="20"/>
      <c r="AW15" s="332">
        <v>0</v>
      </c>
      <c r="AX15" s="332">
        <v>23</v>
      </c>
      <c r="AY15" s="332">
        <f t="shared" si="20"/>
        <v>23</v>
      </c>
      <c r="AZ15" s="18"/>
      <c r="BA15" s="18"/>
      <c r="BB15" s="20"/>
      <c r="BC15" s="20"/>
      <c r="BD15" s="221" t="e">
        <f>-SUMIF(#REF!,ressources!$C15,#REF!)/1000</f>
        <v>#REF!</v>
      </c>
      <c r="BE15" s="221" t="e">
        <f>SUMIF(#REF!,ressources!$C15,#REF!)/1000</f>
        <v>#REF!</v>
      </c>
      <c r="BF15" s="221" t="e">
        <f t="shared" si="6"/>
        <v>#REF!</v>
      </c>
      <c r="BG15" s="221" t="e">
        <f t="shared" si="8"/>
        <v>#REF!</v>
      </c>
      <c r="BK15" s="345"/>
      <c r="BL15" s="345">
        <v>30</v>
      </c>
      <c r="BM15" s="345">
        <f t="shared" si="21"/>
        <v>30</v>
      </c>
      <c r="BN15" s="225"/>
    </row>
    <row r="16" spans="1:66" ht="15" customHeight="1" outlineLevel="1" x14ac:dyDescent="0.25">
      <c r="A16" s="7">
        <v>11</v>
      </c>
      <c r="B16" s="385" t="s">
        <v>25</v>
      </c>
      <c r="C16" s="386" t="s">
        <v>603</v>
      </c>
      <c r="D16" s="16">
        <v>0</v>
      </c>
      <c r="E16" s="16">
        <v>0</v>
      </c>
      <c r="F16" s="16">
        <f>SUM(D16:E16)</f>
        <v>0</v>
      </c>
      <c r="G16" s="16"/>
      <c r="H16" s="24"/>
      <c r="I16" s="16">
        <v>-15</v>
      </c>
      <c r="J16" s="16">
        <v>22.4</v>
      </c>
      <c r="K16" s="18">
        <f t="shared" si="1"/>
        <v>7.3999999999999986</v>
      </c>
      <c r="L16" s="19"/>
      <c r="M16" s="19"/>
      <c r="N16" s="18" t="e">
        <f>-SUMIF(#REF!,$C16,#REF!)/1000</f>
        <v>#REF!</v>
      </c>
      <c r="O16" s="18" t="e">
        <f>SUMIF(#REF!,$C16,#REF!)/1000</f>
        <v>#REF!</v>
      </c>
      <c r="P16" s="18" t="e">
        <f t="shared" si="14"/>
        <v>#REF!</v>
      </c>
      <c r="Q16" s="19"/>
      <c r="R16" s="150">
        <v>0</v>
      </c>
      <c r="S16" s="150">
        <v>0</v>
      </c>
      <c r="T16" s="150">
        <f t="shared" si="15"/>
        <v>0</v>
      </c>
      <c r="U16" s="19"/>
      <c r="V16" s="327">
        <v>0</v>
      </c>
      <c r="W16" s="327">
        <v>0</v>
      </c>
      <c r="X16" s="327">
        <f t="shared" si="16"/>
        <v>0</v>
      </c>
      <c r="Y16" s="169"/>
      <c r="Z16" s="169"/>
      <c r="AA16" s="19"/>
      <c r="AB16" s="154">
        <v>0</v>
      </c>
      <c r="AC16" s="154">
        <v>0</v>
      </c>
      <c r="AD16" s="154">
        <f t="shared" si="17"/>
        <v>0</v>
      </c>
      <c r="AE16" s="18"/>
      <c r="AF16" s="18"/>
      <c r="AG16" s="20"/>
      <c r="AH16" s="20"/>
      <c r="AI16" s="148">
        <v>0</v>
      </c>
      <c r="AJ16" s="148">
        <v>0</v>
      </c>
      <c r="AK16" s="148">
        <f t="shared" si="18"/>
        <v>0</v>
      </c>
      <c r="AL16" s="20"/>
      <c r="AM16" s="20"/>
      <c r="AN16" s="20"/>
      <c r="AO16" s="20"/>
      <c r="AP16" s="339"/>
      <c r="AQ16" s="339"/>
      <c r="AR16" s="339"/>
      <c r="AS16" s="225"/>
      <c r="AT16" s="18"/>
      <c r="AU16" s="20"/>
      <c r="AV16" s="20"/>
      <c r="AW16" s="332">
        <v>0</v>
      </c>
      <c r="AX16" s="332">
        <v>0</v>
      </c>
      <c r="AY16" s="332">
        <f t="shared" si="20"/>
        <v>0</v>
      </c>
      <c r="AZ16" s="18"/>
      <c r="BA16" s="18"/>
      <c r="BB16" s="20"/>
      <c r="BC16" s="20"/>
      <c r="BD16" s="221" t="e">
        <f>-SUMIF(#REF!,ressources!$C16,#REF!)/1000</f>
        <v>#REF!</v>
      </c>
      <c r="BE16" s="221" t="e">
        <f>SUMIF(#REF!,ressources!$C16,#REF!)/1000</f>
        <v>#REF!</v>
      </c>
      <c r="BF16" s="221" t="e">
        <f t="shared" si="6"/>
        <v>#REF!</v>
      </c>
      <c r="BG16" s="221" t="e">
        <f t="shared" si="8"/>
        <v>#REF!</v>
      </c>
      <c r="BK16" s="345"/>
      <c r="BL16" s="345">
        <v>30</v>
      </c>
      <c r="BM16" s="345">
        <f t="shared" si="21"/>
        <v>30</v>
      </c>
      <c r="BN16" s="225"/>
    </row>
    <row r="17" spans="1:66" outlineLevel="2" x14ac:dyDescent="0.25">
      <c r="A17" s="7">
        <v>12</v>
      </c>
      <c r="B17" s="385" t="s">
        <v>26</v>
      </c>
      <c r="C17" s="386" t="s">
        <v>604</v>
      </c>
      <c r="D17" s="16"/>
      <c r="E17" s="16"/>
      <c r="F17" s="16">
        <f>SUM(D17:E17)</f>
        <v>0</v>
      </c>
      <c r="G17" s="16"/>
      <c r="H17" s="24"/>
      <c r="I17" s="16">
        <v>0</v>
      </c>
      <c r="J17" s="16">
        <v>0</v>
      </c>
      <c r="K17" s="18">
        <f t="shared" si="1"/>
        <v>0</v>
      </c>
      <c r="L17" s="19"/>
      <c r="M17" s="19"/>
      <c r="N17" s="18" t="e">
        <f>-SUMIF(#REF!,$C17,#REF!)/1000</f>
        <v>#REF!</v>
      </c>
      <c r="O17" s="18" t="e">
        <f>SUMIF(#REF!,$C17,#REF!)/1000</f>
        <v>#REF!</v>
      </c>
      <c r="P17" s="18" t="e">
        <f t="shared" si="14"/>
        <v>#REF!</v>
      </c>
      <c r="Q17" s="19"/>
      <c r="R17" s="150">
        <v>0</v>
      </c>
      <c r="S17" s="150">
        <v>0</v>
      </c>
      <c r="T17" s="150">
        <f t="shared" si="15"/>
        <v>0</v>
      </c>
      <c r="U17" s="19"/>
      <c r="V17" s="327">
        <v>0</v>
      </c>
      <c r="W17" s="327">
        <v>0</v>
      </c>
      <c r="X17" s="327">
        <f t="shared" si="16"/>
        <v>0</v>
      </c>
      <c r="Y17" s="169"/>
      <c r="Z17" s="169"/>
      <c r="AA17" s="19"/>
      <c r="AB17" s="154"/>
      <c r="AC17" s="154"/>
      <c r="AD17" s="154">
        <f t="shared" si="17"/>
        <v>0</v>
      </c>
      <c r="AE17" s="18"/>
      <c r="AF17" s="18"/>
      <c r="AG17" s="20"/>
      <c r="AH17" s="20"/>
      <c r="AI17" s="148">
        <v>0</v>
      </c>
      <c r="AJ17" s="148">
        <v>0</v>
      </c>
      <c r="AK17" s="148">
        <f t="shared" si="18"/>
        <v>0</v>
      </c>
      <c r="AL17" s="20"/>
      <c r="AM17" s="20"/>
      <c r="AN17" s="20"/>
      <c r="AO17" s="20"/>
      <c r="AP17" s="339"/>
      <c r="AQ17" s="339"/>
      <c r="AR17" s="339"/>
      <c r="AS17" s="225"/>
      <c r="AT17" s="18"/>
      <c r="AU17" s="20"/>
      <c r="AV17" s="20"/>
      <c r="AW17" s="332">
        <v>0</v>
      </c>
      <c r="AX17" s="332">
        <v>0</v>
      </c>
      <c r="AY17" s="332">
        <f t="shared" si="20"/>
        <v>0</v>
      </c>
      <c r="AZ17" s="18"/>
      <c r="BA17" s="18"/>
      <c r="BB17" s="20"/>
      <c r="BC17" s="20"/>
      <c r="BD17" s="221" t="e">
        <f>-SUMIF(#REF!,ressources!$C17,#REF!)/1000</f>
        <v>#REF!</v>
      </c>
      <c r="BE17" s="221" t="e">
        <f>SUMIF(#REF!,ressources!$C17,#REF!)/1000</f>
        <v>#REF!</v>
      </c>
      <c r="BF17" s="221" t="e">
        <f t="shared" si="6"/>
        <v>#REF!</v>
      </c>
      <c r="BG17" s="221" t="e">
        <f t="shared" si="8"/>
        <v>#REF!</v>
      </c>
      <c r="BK17" s="345"/>
      <c r="BL17" s="345"/>
      <c r="BM17" s="345"/>
      <c r="BN17" s="225"/>
    </row>
    <row r="18" spans="1:66" ht="15" customHeight="1" outlineLevel="1" x14ac:dyDescent="0.25">
      <c r="A18" s="7">
        <v>13</v>
      </c>
      <c r="B18" s="385" t="s">
        <v>427</v>
      </c>
      <c r="C18" s="386" t="s">
        <v>390</v>
      </c>
      <c r="D18" s="16"/>
      <c r="E18" s="16"/>
      <c r="F18" s="16"/>
      <c r="G18" s="16"/>
      <c r="H18" s="24"/>
      <c r="I18" s="16">
        <v>-53</v>
      </c>
      <c r="J18" s="16">
        <v>0</v>
      </c>
      <c r="K18" s="18">
        <f t="shared" si="1"/>
        <v>-53</v>
      </c>
      <c r="L18" s="19"/>
      <c r="M18" s="19"/>
      <c r="N18" s="18" t="e">
        <f>-SUMIF(#REF!,$C18,#REF!)/1000</f>
        <v>#REF!</v>
      </c>
      <c r="O18" s="18" t="e">
        <f>SUMIF(#REF!,$C18,#REF!)/1000</f>
        <v>#REF!</v>
      </c>
      <c r="P18" s="18" t="e">
        <f t="shared" si="14"/>
        <v>#REF!</v>
      </c>
      <c r="Q18" s="19"/>
      <c r="R18" s="151"/>
      <c r="S18" s="151">
        <v>86.397000000000006</v>
      </c>
      <c r="T18" s="151">
        <f t="shared" si="15"/>
        <v>86.397000000000006</v>
      </c>
      <c r="U18" s="19"/>
      <c r="V18" s="327">
        <v>-54.418999999999997</v>
      </c>
      <c r="W18" s="327">
        <v>86.397000000000006</v>
      </c>
      <c r="X18" s="327">
        <f t="shared" si="16"/>
        <v>31.978000000000009</v>
      </c>
      <c r="Y18" s="169"/>
      <c r="Z18" s="169">
        <v>34.881</v>
      </c>
      <c r="AA18" s="19"/>
      <c r="AB18" s="154"/>
      <c r="AC18" s="154">
        <f>46.116+8.303</f>
        <v>54.418999999999997</v>
      </c>
      <c r="AD18" s="154">
        <f>SUM(AB18:AC18)</f>
        <v>54.418999999999997</v>
      </c>
      <c r="AE18" s="18"/>
      <c r="AF18" s="19">
        <v>46.116</v>
      </c>
      <c r="AG18" s="20" t="s">
        <v>413</v>
      </c>
      <c r="AH18" s="20"/>
      <c r="AI18" s="148">
        <v>-111.73699999999999</v>
      </c>
      <c r="AJ18" s="148">
        <v>91.516800000000003</v>
      </c>
      <c r="AK18" s="148">
        <f t="shared" si="18"/>
        <v>-20.220199999999991</v>
      </c>
      <c r="AL18" s="20"/>
      <c r="AM18" s="20"/>
      <c r="AN18" s="20"/>
      <c r="AO18" s="20"/>
      <c r="AP18" s="339"/>
      <c r="AQ18" s="339">
        <v>74.64</v>
      </c>
      <c r="AR18" s="339">
        <f t="shared" ref="AR18:AR25" si="22">SUM(AP18:AQ18)</f>
        <v>74.64</v>
      </c>
      <c r="AS18" s="225"/>
      <c r="AT18" s="19">
        <v>71.77</v>
      </c>
      <c r="AU18" s="20" t="s">
        <v>547</v>
      </c>
      <c r="AV18" s="20"/>
      <c r="AW18" s="332">
        <v>-95.154800000000009</v>
      </c>
      <c r="AX18" s="332">
        <v>103.43480000000001</v>
      </c>
      <c r="AY18" s="332">
        <f t="shared" si="20"/>
        <v>8.2800000000000011</v>
      </c>
      <c r="AZ18" s="18"/>
      <c r="BA18" s="18"/>
      <c r="BB18" s="20"/>
      <c r="BC18" s="20"/>
      <c r="BD18" s="221" t="e">
        <f>-SUMIF(#REF!,ressources!$C18,#REF!)/1000</f>
        <v>#REF!</v>
      </c>
      <c r="BE18" s="221" t="e">
        <f>SUMIF(#REF!,ressources!$C18,#REF!)/1000</f>
        <v>#REF!</v>
      </c>
      <c r="BF18" s="221" t="e">
        <f t="shared" si="6"/>
        <v>#REF!</v>
      </c>
      <c r="BG18" s="221" t="e">
        <f t="shared" si="8"/>
        <v>#REF!</v>
      </c>
      <c r="BK18" s="345"/>
      <c r="BL18" s="345">
        <f>66.36+5</f>
        <v>71.36</v>
      </c>
      <c r="BM18" s="345">
        <f t="shared" ref="BM18:BM19" si="23">SUM(BK18:BL18)</f>
        <v>71.36</v>
      </c>
      <c r="BN18" s="225"/>
    </row>
    <row r="19" spans="1:66" ht="15" customHeight="1" outlineLevel="1" x14ac:dyDescent="0.25">
      <c r="A19" s="7">
        <v>14</v>
      </c>
      <c r="B19" s="385" t="s">
        <v>27</v>
      </c>
      <c r="C19" s="386" t="s">
        <v>428</v>
      </c>
      <c r="D19" s="16"/>
      <c r="E19" s="16"/>
      <c r="F19" s="16"/>
      <c r="G19" s="16"/>
      <c r="H19" s="24"/>
      <c r="I19" s="16"/>
      <c r="J19" s="16"/>
      <c r="K19" s="18">
        <f t="shared" si="1"/>
        <v>0</v>
      </c>
      <c r="L19" s="19"/>
      <c r="M19" s="19"/>
      <c r="N19" s="18" t="e">
        <f>-SUMIF(#REF!,$C19,#REF!)/1000</f>
        <v>#REF!</v>
      </c>
      <c r="O19" s="18" t="e">
        <f>SUMIF(#REF!,$C19,#REF!)/1000</f>
        <v>#REF!</v>
      </c>
      <c r="P19" s="18" t="e">
        <f t="shared" si="14"/>
        <v>#REF!</v>
      </c>
      <c r="Q19" s="19"/>
      <c r="R19" s="150"/>
      <c r="S19" s="150">
        <v>20</v>
      </c>
      <c r="T19" s="150">
        <f t="shared" si="15"/>
        <v>20</v>
      </c>
      <c r="U19" s="19"/>
      <c r="V19" s="327">
        <v>0</v>
      </c>
      <c r="W19" s="327">
        <v>32</v>
      </c>
      <c r="X19" s="327">
        <f t="shared" si="16"/>
        <v>32</v>
      </c>
      <c r="Y19" s="169"/>
      <c r="Z19" s="169"/>
      <c r="AA19" s="19"/>
      <c r="AB19" s="154">
        <v>0</v>
      </c>
      <c r="AC19" s="154">
        <v>20</v>
      </c>
      <c r="AD19" s="154">
        <f t="shared" si="17"/>
        <v>20</v>
      </c>
      <c r="AE19" s="18"/>
      <c r="AF19" s="18"/>
      <c r="AG19" s="20"/>
      <c r="AH19" s="20"/>
      <c r="AI19" s="148">
        <v>0</v>
      </c>
      <c r="AJ19" s="148">
        <v>0</v>
      </c>
      <c r="AK19" s="149">
        <f t="shared" si="18"/>
        <v>0</v>
      </c>
      <c r="AL19" s="20"/>
      <c r="AM19" s="20"/>
      <c r="AN19" s="20"/>
      <c r="AO19" s="20"/>
      <c r="AP19" s="339"/>
      <c r="AQ19" s="339">
        <v>20</v>
      </c>
      <c r="AR19" s="339">
        <f t="shared" si="22"/>
        <v>20</v>
      </c>
      <c r="AS19" s="225"/>
      <c r="AT19" s="18"/>
      <c r="AU19" s="20" t="s">
        <v>530</v>
      </c>
      <c r="AV19" s="20"/>
      <c r="AW19" s="332">
        <v>0</v>
      </c>
      <c r="AX19" s="332">
        <v>57</v>
      </c>
      <c r="AY19" s="333">
        <f t="shared" si="20"/>
        <v>57</v>
      </c>
      <c r="AZ19" s="122"/>
      <c r="BA19" s="122"/>
      <c r="BB19" s="20"/>
      <c r="BC19" s="20"/>
      <c r="BD19" s="221" t="e">
        <f>-SUMIF(#REF!,ressources!$C19,#REF!)/1000</f>
        <v>#REF!</v>
      </c>
      <c r="BE19" s="221" t="e">
        <f>SUMIF(#REF!,ressources!$C19,#REF!)/1000</f>
        <v>#REF!</v>
      </c>
      <c r="BF19" s="221" t="e">
        <f t="shared" si="6"/>
        <v>#REF!</v>
      </c>
      <c r="BG19" s="221" t="e">
        <f t="shared" si="8"/>
        <v>#REF!</v>
      </c>
      <c r="BK19" s="345"/>
      <c r="BL19" s="345">
        <v>30</v>
      </c>
      <c r="BM19" s="345">
        <f t="shared" si="23"/>
        <v>30</v>
      </c>
      <c r="BN19" s="225"/>
    </row>
    <row r="20" spans="1:66" ht="15" customHeight="1" x14ac:dyDescent="0.25">
      <c r="A20" s="7">
        <v>15</v>
      </c>
      <c r="B20" s="387" t="s">
        <v>28</v>
      </c>
      <c r="C20" s="388"/>
      <c r="D20" s="23">
        <f>SUM(D14:D17)</f>
        <v>0</v>
      </c>
      <c r="E20" s="23">
        <f>SUM(E14:E17)</f>
        <v>210.5</v>
      </c>
      <c r="F20" s="23">
        <f>SUM(D20:E20)</f>
        <v>210.5</v>
      </c>
      <c r="G20" s="136"/>
      <c r="H20" s="24"/>
      <c r="I20" s="23">
        <f>SUM(I14:I18)</f>
        <v>-68</v>
      </c>
      <c r="J20" s="23">
        <f>SUM(J14:J18)</f>
        <v>250.4</v>
      </c>
      <c r="K20" s="25">
        <f>SUM(K14:K18)</f>
        <v>182.4</v>
      </c>
      <c r="L20" s="19"/>
      <c r="M20" s="19"/>
      <c r="N20" s="25" t="e">
        <f>SUM(N14:N18)</f>
        <v>#REF!</v>
      </c>
      <c r="O20" s="25" t="e">
        <f>SUM(O14:O18)</f>
        <v>#REF!</v>
      </c>
      <c r="P20" s="25" t="e">
        <f>SUM(P14:P18)</f>
        <v>#REF!</v>
      </c>
      <c r="Q20" s="19"/>
      <c r="R20" s="152">
        <f>SUM(R14:R18)</f>
        <v>0</v>
      </c>
      <c r="S20" s="152">
        <f>SUM(S14:S19)</f>
        <v>321.39699999999999</v>
      </c>
      <c r="T20" s="152">
        <f>SUM(T14:T19)</f>
        <v>321.39699999999999</v>
      </c>
      <c r="U20" s="19"/>
      <c r="V20" s="328">
        <f>SUM(V14:V19)</f>
        <v>-54.418999999999997</v>
      </c>
      <c r="W20" s="328">
        <f>SUM(W14:W19)</f>
        <v>333.39699999999999</v>
      </c>
      <c r="X20" s="328">
        <f>SUM(X14:X19)</f>
        <v>278.97800000000001</v>
      </c>
      <c r="Y20" s="170"/>
      <c r="Z20" s="170">
        <f t="shared" ref="Z20" si="24">SUM(Z14:Z19)</f>
        <v>234.881</v>
      </c>
      <c r="AA20" s="19"/>
      <c r="AB20" s="155">
        <f>SUM(AB14:AB19)</f>
        <v>0</v>
      </c>
      <c r="AC20" s="155">
        <f>SUM(AC14:AC19)</f>
        <v>291.41899999999998</v>
      </c>
      <c r="AD20" s="155">
        <f>SUM(AD14:AD19)</f>
        <v>291.41899999999998</v>
      </c>
      <c r="AE20" s="25"/>
      <c r="AF20" s="25">
        <f t="shared" ref="AF20" si="25">SUM(AF14:AF19)</f>
        <v>246.11599999999999</v>
      </c>
      <c r="AG20" s="26"/>
      <c r="AH20" s="81"/>
      <c r="AI20" s="149">
        <f>SUM(AI14:AI19)</f>
        <v>-111.73699999999999</v>
      </c>
      <c r="AJ20" s="149">
        <f>SUM(AJ14:AJ19)</f>
        <v>351.51679999999999</v>
      </c>
      <c r="AK20" s="149">
        <f t="shared" si="18"/>
        <v>239.77979999999999</v>
      </c>
      <c r="AL20" s="81"/>
      <c r="AM20" s="81"/>
      <c r="AN20" s="81"/>
      <c r="AO20" s="81"/>
      <c r="AP20" s="340">
        <f>SUM(AP14:AP19)</f>
        <v>0</v>
      </c>
      <c r="AQ20" s="340">
        <f>SUM(AQ14:AQ19)</f>
        <v>309.64</v>
      </c>
      <c r="AR20" s="340">
        <f>SUM(AR14:AR19)</f>
        <v>309.64</v>
      </c>
      <c r="AS20" s="226"/>
      <c r="AT20" s="25">
        <f>SUM(AT14:AT19)</f>
        <v>271.77</v>
      </c>
      <c r="AU20" s="81"/>
      <c r="AV20" s="81"/>
      <c r="AW20" s="333">
        <f>SUM(AW14:AW19)</f>
        <v>-95.154800000000009</v>
      </c>
      <c r="AX20" s="333">
        <f>SUM(AX14:AX19)</f>
        <v>413.4348</v>
      </c>
      <c r="AY20" s="333">
        <f t="shared" si="20"/>
        <v>318.27999999999997</v>
      </c>
      <c r="AZ20" s="122"/>
      <c r="BA20" s="122"/>
      <c r="BB20" s="81"/>
      <c r="BC20" s="81"/>
      <c r="BD20" s="227" t="e">
        <f>SUM(BD14:BD19)</f>
        <v>#REF!</v>
      </c>
      <c r="BE20" s="227" t="e">
        <f>SUM(BE14:BE19)</f>
        <v>#REF!</v>
      </c>
      <c r="BF20" s="221" t="e">
        <f t="shared" si="6"/>
        <v>#REF!</v>
      </c>
      <c r="BG20" s="221" t="e">
        <f t="shared" si="8"/>
        <v>#REF!</v>
      </c>
      <c r="BK20" s="346">
        <f>SUM(BK14:BK19)</f>
        <v>0</v>
      </c>
      <c r="BL20" s="346">
        <f>SUM(BL14:BL19)</f>
        <v>361.36</v>
      </c>
      <c r="BM20" s="346">
        <f>SUM(BM14:BM19)</f>
        <v>361.36</v>
      </c>
      <c r="BN20" s="226"/>
    </row>
    <row r="21" spans="1:66" ht="15" customHeight="1" outlineLevel="1" x14ac:dyDescent="0.25">
      <c r="A21" s="7">
        <v>16</v>
      </c>
      <c r="B21" s="385" t="s">
        <v>29</v>
      </c>
      <c r="C21" s="386" t="s">
        <v>382</v>
      </c>
      <c r="D21" s="16"/>
      <c r="E21" s="16">
        <v>5</v>
      </c>
      <c r="F21" s="16">
        <f t="shared" ref="F21:F27" si="26">SUM(D21:E21)</f>
        <v>5</v>
      </c>
      <c r="G21" s="16"/>
      <c r="H21" s="24"/>
      <c r="I21" s="16">
        <v>0</v>
      </c>
      <c r="J21" s="16">
        <v>2.6</v>
      </c>
      <c r="K21" s="18">
        <f>SUM(I21:J21)</f>
        <v>2.6</v>
      </c>
      <c r="L21" s="19"/>
      <c r="M21" s="19"/>
      <c r="N21" s="18" t="e">
        <f>-SUMIF(#REF!,$C21,#REF!)/1000</f>
        <v>#REF!</v>
      </c>
      <c r="O21" s="18" t="e">
        <f>SUMIF(#REF!,$C21,#REF!)/1000</f>
        <v>#REF!</v>
      </c>
      <c r="P21" s="18" t="e">
        <f>O21+N21</f>
        <v>#REF!</v>
      </c>
      <c r="Q21" s="19"/>
      <c r="R21" s="150">
        <v>0</v>
      </c>
      <c r="S21" s="150">
        <v>2</v>
      </c>
      <c r="T21" s="150">
        <f>S21+R21</f>
        <v>2</v>
      </c>
      <c r="U21" s="19"/>
      <c r="V21" s="327">
        <v>0</v>
      </c>
      <c r="W21" s="327">
        <v>5</v>
      </c>
      <c r="X21" s="327">
        <f>SUM(V21:W21)</f>
        <v>5</v>
      </c>
      <c r="Y21" s="169"/>
      <c r="Z21" s="169"/>
      <c r="AA21" s="19"/>
      <c r="AB21" s="154"/>
      <c r="AC21" s="154">
        <v>5</v>
      </c>
      <c r="AD21" s="154">
        <v>5</v>
      </c>
      <c r="AE21" s="18"/>
      <c r="AF21" s="18"/>
      <c r="AG21" s="20"/>
      <c r="AH21" s="20"/>
      <c r="AI21" s="148">
        <v>-1.8489199999999999</v>
      </c>
      <c r="AJ21" s="148">
        <v>7.5</v>
      </c>
      <c r="AK21" s="148">
        <f t="shared" si="18"/>
        <v>5.6510800000000003</v>
      </c>
      <c r="AL21" s="20"/>
      <c r="AM21" s="20"/>
      <c r="AN21" s="20"/>
      <c r="AO21" s="20"/>
      <c r="AP21" s="339"/>
      <c r="AQ21" s="339"/>
      <c r="AR21" s="339">
        <f t="shared" si="22"/>
        <v>0</v>
      </c>
      <c r="AS21" s="225"/>
      <c r="AT21" s="263"/>
      <c r="AU21" s="20" t="s">
        <v>457</v>
      </c>
      <c r="AV21" s="20"/>
      <c r="AW21" s="332">
        <v>0</v>
      </c>
      <c r="AX21" s="332">
        <v>0.8</v>
      </c>
      <c r="AY21" s="332">
        <f t="shared" si="20"/>
        <v>0.8</v>
      </c>
      <c r="AZ21" s="18"/>
      <c r="BA21" s="18"/>
      <c r="BB21" s="20"/>
      <c r="BC21" s="20"/>
      <c r="BD21" s="221" t="e">
        <f>-SUMIF(#REF!,ressources!$C21,#REF!)/1000</f>
        <v>#REF!</v>
      </c>
      <c r="BE21" s="221" t="e">
        <f>SUMIF(#REF!,ressources!$C21,#REF!)/1000</f>
        <v>#REF!</v>
      </c>
      <c r="BF21" s="221" t="e">
        <f t="shared" si="6"/>
        <v>#REF!</v>
      </c>
      <c r="BG21" s="221" t="e">
        <f t="shared" si="8"/>
        <v>#REF!</v>
      </c>
      <c r="BK21" s="345"/>
      <c r="BL21" s="345">
        <v>6</v>
      </c>
      <c r="BM21" s="345">
        <f t="shared" ref="BM21:BM25" si="27">SUM(BK21:BL21)</f>
        <v>6</v>
      </c>
      <c r="BN21" s="225"/>
    </row>
    <row r="22" spans="1:66" ht="15" customHeight="1" outlineLevel="1" x14ac:dyDescent="0.25">
      <c r="A22" s="7">
        <v>17</v>
      </c>
      <c r="B22" s="385" t="s">
        <v>30</v>
      </c>
      <c r="C22" s="386" t="s">
        <v>331</v>
      </c>
      <c r="D22" s="16"/>
      <c r="E22" s="16">
        <v>3</v>
      </c>
      <c r="F22" s="16">
        <f t="shared" si="26"/>
        <v>3</v>
      </c>
      <c r="G22" s="16"/>
      <c r="H22" s="24"/>
      <c r="I22" s="16">
        <v>0</v>
      </c>
      <c r="J22" s="16">
        <v>2.8</v>
      </c>
      <c r="K22" s="18">
        <f>SUM(I22:J22)</f>
        <v>2.8</v>
      </c>
      <c r="L22" s="19"/>
      <c r="M22" s="19"/>
      <c r="N22" s="18" t="e">
        <f>-SUMIF(#REF!,$C22,#REF!)/1000</f>
        <v>#REF!</v>
      </c>
      <c r="O22" s="18" t="e">
        <f>SUMIF(#REF!,$C22,#REF!)/1000</f>
        <v>#REF!</v>
      </c>
      <c r="P22" s="18" t="e">
        <f>O22+N22</f>
        <v>#REF!</v>
      </c>
      <c r="Q22" s="19"/>
      <c r="R22" s="150">
        <v>0</v>
      </c>
      <c r="S22" s="150">
        <v>2.5</v>
      </c>
      <c r="T22" s="150">
        <f>S22+R22</f>
        <v>2.5</v>
      </c>
      <c r="U22" s="19"/>
      <c r="V22" s="327">
        <v>-3.2821500000000001</v>
      </c>
      <c r="W22" s="327">
        <v>5.4573799999999997</v>
      </c>
      <c r="X22" s="327">
        <f>SUM(V22:W22)</f>
        <v>2.1752299999999996</v>
      </c>
      <c r="Y22" s="169"/>
      <c r="Z22" s="169"/>
      <c r="AA22" s="19"/>
      <c r="AB22" s="154"/>
      <c r="AC22" s="154">
        <v>1</v>
      </c>
      <c r="AD22" s="154">
        <v>1</v>
      </c>
      <c r="AE22" s="18"/>
      <c r="AF22" s="18"/>
      <c r="AG22" s="20"/>
      <c r="AH22" s="20"/>
      <c r="AI22" s="148">
        <v>-7.0620000000000003</v>
      </c>
      <c r="AJ22" s="148">
        <v>7.3730099999999998</v>
      </c>
      <c r="AK22" s="148">
        <f t="shared" si="18"/>
        <v>0.31100999999999956</v>
      </c>
      <c r="AL22" s="20"/>
      <c r="AM22" s="20"/>
      <c r="AN22" s="20"/>
      <c r="AO22" s="20"/>
      <c r="AP22" s="339"/>
      <c r="AQ22" s="339">
        <v>7</v>
      </c>
      <c r="AR22" s="339">
        <f t="shared" si="22"/>
        <v>7</v>
      </c>
      <c r="AS22" s="225"/>
      <c r="AT22" s="263"/>
      <c r="AU22" s="20" t="s">
        <v>458</v>
      </c>
      <c r="AV22" s="20"/>
      <c r="AW22" s="332">
        <v>-2.3728400000000001</v>
      </c>
      <c r="AX22" s="332">
        <v>1.1314200000000001</v>
      </c>
      <c r="AY22" s="332">
        <f t="shared" si="20"/>
        <v>-1.24142</v>
      </c>
      <c r="AZ22" s="18"/>
      <c r="BA22" s="18"/>
      <c r="BB22" s="20"/>
      <c r="BC22" s="20"/>
      <c r="BD22" s="221" t="e">
        <f>-SUMIF(#REF!,ressources!$C22,#REF!)/1000</f>
        <v>#REF!</v>
      </c>
      <c r="BE22" s="221" t="e">
        <f>SUMIF(#REF!,ressources!$C22,#REF!)/1000</f>
        <v>#REF!</v>
      </c>
      <c r="BF22" s="221" t="e">
        <f t="shared" si="6"/>
        <v>#REF!</v>
      </c>
      <c r="BG22" s="221" t="e">
        <f t="shared" si="8"/>
        <v>#REF!</v>
      </c>
      <c r="BK22" s="345"/>
      <c r="BL22" s="345">
        <f xml:space="preserve"> 1+ 4.37</f>
        <v>5.37</v>
      </c>
      <c r="BM22" s="345">
        <f t="shared" si="27"/>
        <v>5.37</v>
      </c>
      <c r="BN22" s="225"/>
    </row>
    <row r="23" spans="1:66" ht="15" hidden="1" customHeight="1" outlineLevel="2" x14ac:dyDescent="0.25">
      <c r="A23" s="7">
        <f t="shared" si="12"/>
        <v>17</v>
      </c>
      <c r="B23" s="385" t="s">
        <v>31</v>
      </c>
      <c r="C23" s="386">
        <v>150</v>
      </c>
      <c r="D23" s="16"/>
      <c r="E23" s="16">
        <v>25</v>
      </c>
      <c r="F23" s="16">
        <f>SUM(D23:E23)</f>
        <v>25</v>
      </c>
      <c r="G23" s="16"/>
      <c r="H23" s="24"/>
      <c r="I23" s="16">
        <v>0</v>
      </c>
      <c r="J23" s="16">
        <v>0</v>
      </c>
      <c r="K23" s="18">
        <f>SUM(I23:J23)</f>
        <v>0</v>
      </c>
      <c r="L23" s="19"/>
      <c r="M23" s="19"/>
      <c r="N23" s="18" t="e">
        <f>-SUMIF(#REF!,$C23,#REF!)/1000</f>
        <v>#REF!</v>
      </c>
      <c r="O23" s="18" t="e">
        <f>SUMIF(#REF!,$C23,#REF!)/1000</f>
        <v>#REF!</v>
      </c>
      <c r="P23" s="18" t="e">
        <f>O23+N23</f>
        <v>#REF!</v>
      </c>
      <c r="Q23" s="19"/>
      <c r="R23" s="150">
        <v>0</v>
      </c>
      <c r="S23" s="150">
        <v>24</v>
      </c>
      <c r="T23" s="150">
        <f>S23+R23</f>
        <v>24</v>
      </c>
      <c r="U23" s="19"/>
      <c r="V23" s="327">
        <v>0</v>
      </c>
      <c r="W23" s="327">
        <v>0</v>
      </c>
      <c r="X23" s="327">
        <f>SUM(V23:W23)</f>
        <v>0</v>
      </c>
      <c r="Y23" s="169"/>
      <c r="Z23" s="169"/>
      <c r="AA23" s="19"/>
      <c r="AB23" s="154"/>
      <c r="AC23" s="154"/>
      <c r="AD23" s="154">
        <f>SUM(AB23:AC23)</f>
        <v>0</v>
      </c>
      <c r="AE23" s="18"/>
      <c r="AF23" s="18"/>
      <c r="AG23" s="20"/>
      <c r="AH23" s="20"/>
      <c r="AI23" s="148">
        <v>0</v>
      </c>
      <c r="AJ23" s="148">
        <v>0</v>
      </c>
      <c r="AK23" s="148">
        <f t="shared" si="18"/>
        <v>0</v>
      </c>
      <c r="AL23" s="20"/>
      <c r="AM23" s="20"/>
      <c r="AN23" s="20"/>
      <c r="AO23" s="20"/>
      <c r="AP23" s="339"/>
      <c r="AQ23" s="339"/>
      <c r="AR23" s="339">
        <f t="shared" si="22"/>
        <v>0</v>
      </c>
      <c r="AS23" s="225"/>
      <c r="AT23" s="263"/>
      <c r="AU23" s="20"/>
      <c r="AV23" s="20"/>
      <c r="AW23" s="332">
        <v>0</v>
      </c>
      <c r="AX23" s="332">
        <v>0</v>
      </c>
      <c r="AY23" s="332">
        <f t="shared" si="20"/>
        <v>0</v>
      </c>
      <c r="AZ23" s="18"/>
      <c r="BA23" s="18"/>
      <c r="BB23" s="20"/>
      <c r="BC23" s="20"/>
      <c r="BD23" s="221" t="e">
        <f>-SUMIF(#REF!,ressources!$C23,#REF!)/1000</f>
        <v>#REF!</v>
      </c>
      <c r="BE23" s="221" t="e">
        <f>SUMIF(#REF!,ressources!$C23,#REF!)/1000</f>
        <v>#REF!</v>
      </c>
      <c r="BF23" s="221" t="e">
        <f t="shared" si="6"/>
        <v>#REF!</v>
      </c>
      <c r="BG23" s="221" t="e">
        <f t="shared" si="8"/>
        <v>#REF!</v>
      </c>
      <c r="BK23" s="345"/>
      <c r="BL23" s="345"/>
      <c r="BM23" s="345">
        <f t="shared" si="27"/>
        <v>0</v>
      </c>
      <c r="BN23" s="225"/>
    </row>
    <row r="24" spans="1:66" ht="15" hidden="1" customHeight="1" outlineLevel="2" x14ac:dyDescent="0.25">
      <c r="A24" s="7">
        <f t="shared" si="12"/>
        <v>17</v>
      </c>
      <c r="B24" s="385" t="s">
        <v>32</v>
      </c>
      <c r="C24" s="389"/>
      <c r="D24" s="16"/>
      <c r="E24" s="16"/>
      <c r="F24" s="16"/>
      <c r="G24" s="16"/>
      <c r="H24" s="24"/>
      <c r="I24" s="16">
        <v>0</v>
      </c>
      <c r="J24" s="16">
        <v>0</v>
      </c>
      <c r="K24" s="18">
        <f>SUM(I24:J24)</f>
        <v>0</v>
      </c>
      <c r="L24" s="19"/>
      <c r="M24" s="19"/>
      <c r="N24" s="18" t="e">
        <f>-SUMIF(#REF!,$C24,#REF!)/1000</f>
        <v>#REF!</v>
      </c>
      <c r="O24" s="18" t="e">
        <f>SUMIF(#REF!,$C24,#REF!)/1000</f>
        <v>#REF!</v>
      </c>
      <c r="P24" s="18" t="e">
        <f>O24+N24</f>
        <v>#REF!</v>
      </c>
      <c r="Q24" s="19"/>
      <c r="R24" s="150">
        <v>0</v>
      </c>
      <c r="S24" s="150">
        <v>0</v>
      </c>
      <c r="T24" s="150">
        <f>S24+R24</f>
        <v>0</v>
      </c>
      <c r="U24" s="19"/>
      <c r="V24" s="327">
        <v>0</v>
      </c>
      <c r="W24" s="327">
        <v>0</v>
      </c>
      <c r="X24" s="327">
        <f>SUM(V24:W24)</f>
        <v>0</v>
      </c>
      <c r="Y24" s="169"/>
      <c r="Z24" s="169"/>
      <c r="AA24" s="19"/>
      <c r="AB24" s="154"/>
      <c r="AC24" s="154"/>
      <c r="AD24" s="154">
        <f>SUM(AB24:AC24)</f>
        <v>0</v>
      </c>
      <c r="AE24" s="18"/>
      <c r="AF24" s="18"/>
      <c r="AG24" s="20"/>
      <c r="AH24" s="20"/>
      <c r="AI24" s="148">
        <v>0</v>
      </c>
      <c r="AJ24" s="148">
        <v>0</v>
      </c>
      <c r="AK24" s="148">
        <f t="shared" si="18"/>
        <v>0</v>
      </c>
      <c r="AL24" s="20"/>
      <c r="AM24" s="20"/>
      <c r="AN24" s="20"/>
      <c r="AO24" s="20"/>
      <c r="AP24" s="339"/>
      <c r="AQ24" s="339"/>
      <c r="AR24" s="339">
        <f t="shared" si="22"/>
        <v>0</v>
      </c>
      <c r="AS24" s="225"/>
      <c r="AT24" s="263"/>
      <c r="AU24" s="20"/>
      <c r="AV24" s="20"/>
      <c r="AW24" s="332">
        <v>0</v>
      </c>
      <c r="AX24" s="332">
        <v>0</v>
      </c>
      <c r="AY24" s="332">
        <f t="shared" si="20"/>
        <v>0</v>
      </c>
      <c r="AZ24" s="18"/>
      <c r="BA24" s="18"/>
      <c r="BB24" s="20"/>
      <c r="BC24" s="20"/>
      <c r="BD24" s="221" t="e">
        <f>-SUMIF(#REF!,ressources!$C24,#REF!)/1000</f>
        <v>#REF!</v>
      </c>
      <c r="BE24" s="221" t="e">
        <f>SUMIF(#REF!,ressources!$C24,#REF!)/1000</f>
        <v>#REF!</v>
      </c>
      <c r="BF24" s="221" t="e">
        <f t="shared" si="6"/>
        <v>#REF!</v>
      </c>
      <c r="BG24" s="221" t="e">
        <f t="shared" si="8"/>
        <v>#REF!</v>
      </c>
      <c r="BK24" s="345"/>
      <c r="BL24" s="345"/>
      <c r="BM24" s="345">
        <f t="shared" si="27"/>
        <v>0</v>
      </c>
      <c r="BN24" s="225"/>
    </row>
    <row r="25" spans="1:66" ht="15" customHeight="1" outlineLevel="1" collapsed="1" x14ac:dyDescent="0.25">
      <c r="A25" s="7">
        <v>18</v>
      </c>
      <c r="B25" s="385" t="s">
        <v>33</v>
      </c>
      <c r="C25" s="386" t="s">
        <v>332</v>
      </c>
      <c r="D25" s="16"/>
      <c r="E25" s="16"/>
      <c r="F25" s="16">
        <f t="shared" si="26"/>
        <v>0</v>
      </c>
      <c r="G25" s="16"/>
      <c r="H25" s="24"/>
      <c r="I25" s="16">
        <v>-0.3</v>
      </c>
      <c r="J25" s="16">
        <v>0.7</v>
      </c>
      <c r="K25" s="18">
        <f>SUM(I25:J25)</f>
        <v>0.39999999999999997</v>
      </c>
      <c r="L25" s="19"/>
      <c r="M25" s="19"/>
      <c r="N25" s="18" t="e">
        <f>-SUMIF(#REF!,$C25,#REF!)/1000</f>
        <v>#REF!</v>
      </c>
      <c r="O25" s="18" t="e">
        <f>SUMIF(#REF!,$C25,#REF!)/1000</f>
        <v>#REF!</v>
      </c>
      <c r="P25" s="18" t="e">
        <f>O25+N25</f>
        <v>#REF!</v>
      </c>
      <c r="Q25" s="19"/>
      <c r="R25" s="150">
        <v>0</v>
      </c>
      <c r="S25" s="150">
        <v>1.8</v>
      </c>
      <c r="T25" s="150">
        <f>S25+R25</f>
        <v>1.8</v>
      </c>
      <c r="U25" s="19"/>
      <c r="V25" s="327">
        <v>-30.35557</v>
      </c>
      <c r="W25" s="327">
        <v>28.80096</v>
      </c>
      <c r="X25" s="327">
        <f>SUM(V25:W25)</f>
        <v>-1.5546100000000003</v>
      </c>
      <c r="Y25" s="169"/>
      <c r="Z25" s="169"/>
      <c r="AA25" s="19"/>
      <c r="AB25" s="154"/>
      <c r="AC25" s="154"/>
      <c r="AD25" s="154">
        <f>SUM(AB25:AC25)</f>
        <v>0</v>
      </c>
      <c r="AE25" s="18"/>
      <c r="AF25" s="18"/>
      <c r="AG25" s="20"/>
      <c r="AH25" s="20"/>
      <c r="AI25" s="148">
        <v>-3.13863</v>
      </c>
      <c r="AJ25" s="148">
        <v>20.530829999999998</v>
      </c>
      <c r="AK25" s="148">
        <f>AI25+AJ25</f>
        <v>17.392199999999999</v>
      </c>
      <c r="AL25" s="20"/>
      <c r="AM25" s="20"/>
      <c r="AN25" s="20"/>
      <c r="AO25" s="20"/>
      <c r="AP25" s="339"/>
      <c r="AQ25" s="339"/>
      <c r="AR25" s="339">
        <f t="shared" si="22"/>
        <v>0</v>
      </c>
      <c r="AS25" s="225"/>
      <c r="AT25" s="263"/>
      <c r="AU25" s="20"/>
      <c r="AV25" s="20"/>
      <c r="AW25" s="332">
        <v>-0.54142000000000012</v>
      </c>
      <c r="AX25" s="332">
        <v>2.0109999999999999E-2</v>
      </c>
      <c r="AY25" s="332">
        <f>AW25+AX25</f>
        <v>-0.52131000000000016</v>
      </c>
      <c r="AZ25" s="18"/>
      <c r="BA25" s="18"/>
      <c r="BB25" s="20"/>
      <c r="BC25" s="20"/>
      <c r="BD25" s="221" t="e">
        <f>-SUMIF(#REF!,ressources!$C25,#REF!)/1000</f>
        <v>#REF!</v>
      </c>
      <c r="BE25" s="221" t="e">
        <f>SUMIF(#REF!,ressources!$C25,#REF!)/1000</f>
        <v>#REF!</v>
      </c>
      <c r="BF25" s="221" t="e">
        <f t="shared" si="6"/>
        <v>#REF!</v>
      </c>
      <c r="BG25" s="221" t="e">
        <f t="shared" si="8"/>
        <v>#REF!</v>
      </c>
      <c r="BK25" s="323">
        <f>-12.28-25.36</f>
        <v>-37.64</v>
      </c>
      <c r="BL25" s="345"/>
      <c r="BM25" s="345">
        <f t="shared" si="27"/>
        <v>-37.64</v>
      </c>
      <c r="BN25" s="225"/>
    </row>
    <row r="26" spans="1:66" ht="15" customHeight="1" x14ac:dyDescent="0.25">
      <c r="A26" s="7">
        <v>19</v>
      </c>
      <c r="B26" s="387" t="s">
        <v>34</v>
      </c>
      <c r="C26" s="388"/>
      <c r="D26" s="23">
        <f>SUM(D21:D25)</f>
        <v>0</v>
      </c>
      <c r="E26" s="23">
        <f>SUM(E21:E25)</f>
        <v>33</v>
      </c>
      <c r="F26" s="23">
        <f t="shared" si="26"/>
        <v>33</v>
      </c>
      <c r="G26" s="136"/>
      <c r="H26" s="24"/>
      <c r="I26" s="23">
        <f>SUM(I21:I25)</f>
        <v>-0.3</v>
      </c>
      <c r="J26" s="23">
        <f>SUM(J21:J25)</f>
        <v>6.1000000000000005</v>
      </c>
      <c r="K26" s="25">
        <f>SUM(K21:K25)</f>
        <v>5.8000000000000007</v>
      </c>
      <c r="L26" s="19"/>
      <c r="M26" s="19"/>
      <c r="N26" s="25" t="e">
        <f>SUM(N21:N25)</f>
        <v>#REF!</v>
      </c>
      <c r="O26" s="25" t="e">
        <f>SUM(O21:O25)</f>
        <v>#REF!</v>
      </c>
      <c r="P26" s="25" t="e">
        <f>SUM(P21:P25)</f>
        <v>#REF!</v>
      </c>
      <c r="Q26" s="19"/>
      <c r="R26" s="162">
        <f>SUM(R21:R25)</f>
        <v>0</v>
      </c>
      <c r="S26" s="162">
        <f>SUM(S21:S25)</f>
        <v>30.3</v>
      </c>
      <c r="T26" s="162">
        <f>SUM(T21:T25)</f>
        <v>30.3</v>
      </c>
      <c r="U26" s="19"/>
      <c r="V26" s="329">
        <v>-33.637720000000002</v>
      </c>
      <c r="W26" s="329">
        <v>39.258340000000004</v>
      </c>
      <c r="X26" s="329">
        <f>SUM(X21:X25)</f>
        <v>5.6206199999999988</v>
      </c>
      <c r="Y26" s="171"/>
      <c r="Z26" s="171">
        <f t="shared" ref="Z26" si="28">SUM(Z21:Z25)</f>
        <v>0</v>
      </c>
      <c r="AA26" s="19"/>
      <c r="AB26" s="166">
        <f>SUM(AB21:AB25)</f>
        <v>0</v>
      </c>
      <c r="AC26" s="166">
        <f t="shared" ref="AC26" si="29">SUM(AC21:AC25)</f>
        <v>6</v>
      </c>
      <c r="AD26" s="166">
        <f>SUM(AD21:AD25)</f>
        <v>6</v>
      </c>
      <c r="AE26" s="25"/>
      <c r="AF26" s="25">
        <f t="shared" ref="AF26" si="30">SUM(AF21:AF25)</f>
        <v>0</v>
      </c>
      <c r="AG26" s="26"/>
      <c r="AH26" s="81"/>
      <c r="AI26" s="164">
        <f>SUM(AI21:AI25)</f>
        <v>-12.04955</v>
      </c>
      <c r="AJ26" s="164">
        <f>SUM(AJ21:AJ25)</f>
        <v>35.403840000000002</v>
      </c>
      <c r="AK26" s="149">
        <f t="shared" si="18"/>
        <v>23.354290000000002</v>
      </c>
      <c r="AL26" s="81"/>
      <c r="AM26" s="81"/>
      <c r="AN26" s="81"/>
      <c r="AO26" s="81"/>
      <c r="AP26" s="341">
        <f>SUM(AP21:AP25)</f>
        <v>0</v>
      </c>
      <c r="AQ26" s="341">
        <f t="shared" ref="AQ26" si="31">SUM(AQ21:AQ25)</f>
        <v>7</v>
      </c>
      <c r="AR26" s="341">
        <f>SUM(AR21:AR25)</f>
        <v>7</v>
      </c>
      <c r="AS26" s="226"/>
      <c r="AT26" s="264"/>
      <c r="AU26" s="81"/>
      <c r="AV26" s="81"/>
      <c r="AW26" s="334">
        <f>SUM(AW21:AW25)</f>
        <v>-2.9142600000000001</v>
      </c>
      <c r="AX26" s="334">
        <f>SUM(AX21:AX25)</f>
        <v>1.9515300000000002</v>
      </c>
      <c r="AY26" s="333">
        <f t="shared" ref="AY26:AY27" si="32">AW26+AX26</f>
        <v>-0.96272999999999986</v>
      </c>
      <c r="AZ26" s="122"/>
      <c r="BA26" s="122"/>
      <c r="BB26" s="81"/>
      <c r="BC26" s="81"/>
      <c r="BD26" s="227" t="e">
        <f>SUM(BD21:BD25)</f>
        <v>#REF!</v>
      </c>
      <c r="BE26" s="227" t="e">
        <f>SUM(BE21:BE25)</f>
        <v>#REF!</v>
      </c>
      <c r="BF26" s="221" t="e">
        <f t="shared" si="6"/>
        <v>#REF!</v>
      </c>
      <c r="BG26" s="221" t="e">
        <f t="shared" si="8"/>
        <v>#REF!</v>
      </c>
      <c r="BK26" s="347">
        <f>SUM(BK21:BK25)</f>
        <v>-37.64</v>
      </c>
      <c r="BL26" s="347">
        <f t="shared" ref="BL26" si="33">SUM(BL21:BL25)</f>
        <v>11.370000000000001</v>
      </c>
      <c r="BM26" s="347">
        <f>SUM(BM21:BM25)</f>
        <v>-26.27</v>
      </c>
      <c r="BN26" s="226"/>
    </row>
    <row r="27" spans="1:66" ht="15" customHeight="1" x14ac:dyDescent="0.25">
      <c r="A27" s="7">
        <v>20</v>
      </c>
      <c r="B27" s="387" t="s">
        <v>35</v>
      </c>
      <c r="C27" s="388"/>
      <c r="D27" s="23">
        <f>SUM(D26,D20,D13)</f>
        <v>-307.8</v>
      </c>
      <c r="E27" s="23">
        <f>SUM(E26,E20,E13)</f>
        <v>855.34</v>
      </c>
      <c r="F27" s="23">
        <f t="shared" si="26"/>
        <v>547.54</v>
      </c>
      <c r="G27" s="136"/>
      <c r="H27" s="24"/>
      <c r="I27" s="23">
        <f>SUM(I26+I20+I13)</f>
        <v>-387.29999999999995</v>
      </c>
      <c r="J27" s="23">
        <f>SUM(J26+J20+J13)</f>
        <v>867.5</v>
      </c>
      <c r="K27" s="25">
        <f>SUM(I27:J27)</f>
        <v>480.20000000000005</v>
      </c>
      <c r="L27" s="19"/>
      <c r="M27" s="19"/>
      <c r="N27" s="25" t="e">
        <f>SUM(N26,N20,N13)</f>
        <v>#REF!</v>
      </c>
      <c r="O27" s="25" t="e">
        <f>SUM(O26,O20,O13)</f>
        <v>#REF!</v>
      </c>
      <c r="P27" s="25" t="e">
        <f>SUM(P26,P20,P13)</f>
        <v>#REF!</v>
      </c>
      <c r="Q27" s="19"/>
      <c r="R27" s="160">
        <f>SUM(R26,R20,R13)</f>
        <v>-368.78199999999998</v>
      </c>
      <c r="S27" s="160">
        <f>SUM(S26,S20,S13)</f>
        <v>1050.8530000000001</v>
      </c>
      <c r="T27" s="160">
        <f>SUM(T26,T20,T13)</f>
        <v>682.07100000000003</v>
      </c>
      <c r="U27" s="19"/>
      <c r="V27" s="330">
        <f>SUM(V26,V20,V13)</f>
        <v>-433.33356999999995</v>
      </c>
      <c r="W27" s="330">
        <f>SUM(W26,W20,W13)</f>
        <v>1011.49474</v>
      </c>
      <c r="X27" s="330">
        <f>SUM(X26,X20,X13)</f>
        <v>578.16117000000008</v>
      </c>
      <c r="Y27" s="25"/>
      <c r="Z27" s="25">
        <f t="shared" ref="Z27" si="34">SUM(Z26,Z20,Z13)</f>
        <v>234.881</v>
      </c>
      <c r="AA27" s="19"/>
      <c r="AB27" s="239">
        <f>SUM(AB26,AB20,AB13)</f>
        <v>-366.8</v>
      </c>
      <c r="AC27" s="239">
        <f>SUM(AC26,AC20,AC13)</f>
        <v>964.41899999999998</v>
      </c>
      <c r="AD27" s="239">
        <f>SUM(AD26,AD20,AD13)</f>
        <v>597.61899999999991</v>
      </c>
      <c r="AE27" s="25"/>
      <c r="AF27" s="25">
        <f t="shared" ref="AF27" si="35">SUM(AF26,AF20,AF13)</f>
        <v>246.11599999999999</v>
      </c>
      <c r="AG27" s="26"/>
      <c r="AH27" s="81"/>
      <c r="AI27" s="231">
        <f>SUM(AI26,AI20,AI13)</f>
        <v>-484.32153999999997</v>
      </c>
      <c r="AJ27" s="231">
        <f>SUM(AJ26,AJ20,AJ13)</f>
        <v>1070.73316</v>
      </c>
      <c r="AK27" s="296">
        <f t="shared" si="18"/>
        <v>586.41162000000008</v>
      </c>
      <c r="AL27" s="81"/>
      <c r="AM27" s="81"/>
      <c r="AN27" s="81"/>
      <c r="AO27" s="81"/>
      <c r="AP27" s="342">
        <f>SUM(AP26,AP20,AP13)</f>
        <v>-386.6</v>
      </c>
      <c r="AQ27" s="342">
        <f>SUM(AQ26,AQ20,AQ13)</f>
        <v>1035.04</v>
      </c>
      <c r="AR27" s="342">
        <f>SUM(AR26,AR20,AR13)</f>
        <v>648.43999999999994</v>
      </c>
      <c r="AS27" s="240"/>
      <c r="AT27" s="265">
        <f>AT13+AT20</f>
        <v>326.77</v>
      </c>
      <c r="AU27" s="26"/>
      <c r="AV27" s="81"/>
      <c r="AW27" s="335">
        <f>SUM(AW26,AW20,AW13)</f>
        <v>-498.18123000000003</v>
      </c>
      <c r="AX27" s="335">
        <f>SUM(AX26,AX20,AX13)</f>
        <v>1159.0194300000001</v>
      </c>
      <c r="AY27" s="336">
        <f t="shared" si="32"/>
        <v>660.83820000000003</v>
      </c>
      <c r="AZ27" s="297"/>
      <c r="BA27" s="297"/>
      <c r="BB27" s="81"/>
      <c r="BC27" s="81"/>
      <c r="BD27" s="222" t="e">
        <f>SUM(BD26,BD20,BD13)</f>
        <v>#REF!</v>
      </c>
      <c r="BE27" s="222" t="e">
        <f>SUM(BE26,BE20,BE13)</f>
        <v>#REF!</v>
      </c>
      <c r="BF27" s="222" t="e">
        <f t="shared" si="6"/>
        <v>#REF!</v>
      </c>
      <c r="BG27" s="222" t="e">
        <f>AR27-BF27</f>
        <v>#REF!</v>
      </c>
      <c r="BK27" s="348">
        <f>SUM(BK26,BK20,BK13)</f>
        <v>-449.44</v>
      </c>
      <c r="BL27" s="348">
        <f>SUM(BL26,BL20,BL13)</f>
        <v>1132.23</v>
      </c>
      <c r="BM27" s="348">
        <f>SUM(BM26,BM20,BM13)</f>
        <v>682.79</v>
      </c>
      <c r="BN27" s="226"/>
    </row>
    <row r="28" spans="1:66" x14ac:dyDescent="0.25">
      <c r="H28" s="27"/>
      <c r="L28" s="27"/>
      <c r="M28" s="27"/>
      <c r="Q28" s="27"/>
      <c r="U28" s="27"/>
      <c r="Y28" s="27"/>
      <c r="Z28" s="27"/>
      <c r="AA28" s="27"/>
    </row>
    <row r="29" spans="1:66" x14ac:dyDescent="0.25">
      <c r="H29" s="27"/>
      <c r="L29" s="27"/>
      <c r="M29" s="27"/>
      <c r="Q29" s="27"/>
      <c r="T29" s="21"/>
      <c r="U29" s="27"/>
      <c r="Y29" s="27"/>
      <c r="Z29" s="27"/>
      <c r="AA29" s="27"/>
    </row>
    <row r="30" spans="1:66" x14ac:dyDescent="0.25">
      <c r="Q30" s="6"/>
      <c r="U30" s="6"/>
      <c r="Y30" s="6"/>
      <c r="Z30" s="6"/>
      <c r="AA30" s="6"/>
    </row>
    <row r="31" spans="1:66" x14ac:dyDescent="0.25">
      <c r="AD31" s="123"/>
      <c r="AE31" s="123"/>
      <c r="AF31" s="123"/>
    </row>
    <row r="33" spans="2:65" x14ac:dyDescent="0.25">
      <c r="T33" s="21"/>
    </row>
    <row r="35" spans="2:65" x14ac:dyDescent="0.25">
      <c r="D35" s="5"/>
      <c r="E35" s="5"/>
      <c r="F35" s="5"/>
      <c r="G35" s="5"/>
      <c r="H35" s="5"/>
      <c r="I35" s="5"/>
      <c r="J35" s="5"/>
      <c r="L35" s="5"/>
      <c r="M35" s="5"/>
      <c r="N35" s="5"/>
      <c r="O35" s="5"/>
      <c r="Q35" s="5"/>
      <c r="R35" s="5"/>
      <c r="S35" s="5"/>
      <c r="T35" s="5"/>
      <c r="U35" s="5"/>
      <c r="AD35" s="123"/>
      <c r="AE35" s="123"/>
      <c r="AF35" s="123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2:65" x14ac:dyDescent="0.25">
      <c r="B36" s="9" t="str">
        <f>B4</f>
        <v>en k€</v>
      </c>
      <c r="D36" s="5"/>
      <c r="E36" s="5"/>
      <c r="F36" s="5"/>
      <c r="G36" s="5"/>
      <c r="H36" s="5"/>
      <c r="I36" s="5"/>
      <c r="J36" s="5"/>
      <c r="K36" s="28" t="str">
        <f>K4</f>
        <v>2018a</v>
      </c>
      <c r="L36" s="5"/>
      <c r="M36" s="5"/>
      <c r="N36" s="5"/>
      <c r="O36" s="5"/>
      <c r="P36" s="28" t="str">
        <f>P4</f>
        <v>2019a</v>
      </c>
      <c r="Q36" s="5"/>
      <c r="R36" s="5"/>
      <c r="S36" s="5"/>
      <c r="T36" s="5"/>
      <c r="U36" s="5"/>
      <c r="X36" s="28" t="str">
        <f>V3</f>
        <v>réalisé 2020</v>
      </c>
      <c r="AD36" s="28" t="str">
        <f>AD4</f>
        <v>résultat</v>
      </c>
      <c r="AE36" s="28"/>
      <c r="AF36" s="28"/>
      <c r="AG36" s="7"/>
      <c r="AH36" s="7"/>
      <c r="AI36" s="7"/>
      <c r="AJ36" s="7"/>
      <c r="AK36" s="28" t="str">
        <f>AI3</f>
        <v>réalisé 2021</v>
      </c>
      <c r="AL36" s="7"/>
      <c r="AM36" s="7"/>
      <c r="AN36" s="7"/>
      <c r="AO36" s="7"/>
      <c r="AP36" s="7"/>
      <c r="AQ36" s="7"/>
      <c r="AR36" s="28" t="str">
        <f>AP3</f>
        <v>Budget 2022</v>
      </c>
      <c r="AS36" s="7"/>
      <c r="AU36" s="7"/>
      <c r="AV36" s="7"/>
      <c r="AW36" s="7"/>
      <c r="AX36" s="7"/>
      <c r="AY36" s="28" t="str">
        <f>AW3</f>
        <v>réalisé 2022</v>
      </c>
      <c r="AZ36" s="7"/>
      <c r="BA36" s="7"/>
      <c r="BB36" s="7"/>
      <c r="BC36" s="7"/>
      <c r="BD36" s="7"/>
      <c r="BE36" s="7"/>
      <c r="BF36" s="7"/>
      <c r="BM36" s="28" t="str">
        <f>BK3</f>
        <v>Budget 2023</v>
      </c>
    </row>
    <row r="37" spans="2:65" ht="15" customHeight="1" x14ac:dyDescent="0.25">
      <c r="B37" s="22" t="str">
        <f>B13</f>
        <v>Cotisations et autres</v>
      </c>
      <c r="D37" s="5"/>
      <c r="E37" s="5"/>
      <c r="F37" s="5"/>
      <c r="G37" s="5"/>
      <c r="H37" s="5"/>
      <c r="I37" s="5"/>
      <c r="J37" s="5"/>
      <c r="K37" s="25">
        <f>K13</f>
        <v>292.00000000000006</v>
      </c>
      <c r="L37" s="5"/>
      <c r="M37" s="5"/>
      <c r="N37" s="5"/>
      <c r="O37" s="5"/>
      <c r="P37" s="25" t="e">
        <f>P13</f>
        <v>#REF!</v>
      </c>
      <c r="Q37" s="5"/>
      <c r="R37" s="5"/>
      <c r="S37" s="5"/>
      <c r="T37" s="5"/>
      <c r="U37" s="5"/>
      <c r="X37" s="25">
        <f>X13</f>
        <v>293.56255000000004</v>
      </c>
      <c r="AD37" s="25">
        <f>AD13</f>
        <v>300.2</v>
      </c>
      <c r="AE37" s="122"/>
      <c r="AF37" s="122"/>
      <c r="AG37" s="7"/>
      <c r="AH37" s="7"/>
      <c r="AI37" s="7"/>
      <c r="AJ37" s="7"/>
      <c r="AK37" s="25">
        <f>AK13</f>
        <v>323.27753000000007</v>
      </c>
      <c r="AL37" s="7"/>
      <c r="AM37" s="7"/>
      <c r="AN37" s="7"/>
      <c r="AO37" s="7"/>
      <c r="AP37" s="7"/>
      <c r="AQ37" s="7"/>
      <c r="AR37" s="25">
        <f>AR13</f>
        <v>331.79999999999995</v>
      </c>
      <c r="AS37" s="7"/>
      <c r="AU37" s="7"/>
      <c r="AV37" s="7"/>
      <c r="AW37" s="7"/>
      <c r="AX37" s="7"/>
      <c r="AY37" s="25">
        <f>AY13</f>
        <v>343.52093000000002</v>
      </c>
      <c r="AZ37" s="7"/>
      <c r="BA37" s="7"/>
      <c r="BB37" s="7"/>
      <c r="BC37" s="7"/>
      <c r="BD37" s="7"/>
      <c r="BE37" s="7"/>
      <c r="BF37" s="7"/>
      <c r="BM37" s="25">
        <f>BM13</f>
        <v>347.7</v>
      </c>
    </row>
    <row r="38" spans="2:65" ht="15" customHeight="1" x14ac:dyDescent="0.25">
      <c r="B38" s="22" t="str">
        <f>B20</f>
        <v>Subventions</v>
      </c>
      <c r="D38" s="5"/>
      <c r="E38" s="5"/>
      <c r="F38" s="5"/>
      <c r="G38" s="5"/>
      <c r="H38" s="5"/>
      <c r="I38" s="5"/>
      <c r="J38" s="5"/>
      <c r="K38" s="25">
        <f>K20</f>
        <v>182.4</v>
      </c>
      <c r="L38" s="5"/>
      <c r="M38" s="5"/>
      <c r="N38" s="5"/>
      <c r="O38" s="5"/>
      <c r="P38" s="25" t="e">
        <f>P20</f>
        <v>#REF!</v>
      </c>
      <c r="Q38" s="5"/>
      <c r="R38" s="5"/>
      <c r="S38" s="5"/>
      <c r="T38" s="5"/>
      <c r="U38" s="5"/>
      <c r="X38" s="25">
        <f>X20</f>
        <v>278.97800000000001</v>
      </c>
      <c r="AD38" s="25">
        <f>AD20</f>
        <v>291.41899999999998</v>
      </c>
      <c r="AE38" s="122"/>
      <c r="AF38" s="122"/>
      <c r="AG38" s="7"/>
      <c r="AH38" s="7"/>
      <c r="AI38" s="7"/>
      <c r="AJ38" s="7"/>
      <c r="AK38" s="25">
        <f>AK20</f>
        <v>239.77979999999999</v>
      </c>
      <c r="AL38" s="7"/>
      <c r="AM38" s="7"/>
      <c r="AN38" s="7"/>
      <c r="AO38" s="7"/>
      <c r="AP38" s="7"/>
      <c r="AQ38" s="7"/>
      <c r="AR38" s="25">
        <f>AR20</f>
        <v>309.64</v>
      </c>
      <c r="AS38" s="7"/>
      <c r="AU38" s="7"/>
      <c r="AV38" s="7"/>
      <c r="AW38" s="7"/>
      <c r="AX38" s="7"/>
      <c r="AY38" s="25">
        <f>AY20</f>
        <v>318.27999999999997</v>
      </c>
      <c r="AZ38" s="7"/>
      <c r="BA38" s="7"/>
      <c r="BB38" s="7"/>
      <c r="BC38" s="7"/>
      <c r="BD38" s="7"/>
      <c r="BE38" s="7"/>
      <c r="BF38" s="7"/>
      <c r="BM38" s="25">
        <f>BM20</f>
        <v>361.36</v>
      </c>
    </row>
    <row r="39" spans="2:65" ht="15" customHeight="1" x14ac:dyDescent="0.25">
      <c r="B39" s="22" t="str">
        <f>B26</f>
        <v>Autres recettes diverses</v>
      </c>
      <c r="D39" s="5"/>
      <c r="E39" s="5"/>
      <c r="F39" s="5"/>
      <c r="G39" s="5"/>
      <c r="H39" s="5"/>
      <c r="I39" s="5"/>
      <c r="J39" s="5"/>
      <c r="K39" s="25">
        <f>K26</f>
        <v>5.8000000000000007</v>
      </c>
      <c r="L39" s="5"/>
      <c r="M39" s="5"/>
      <c r="N39" s="5"/>
      <c r="O39" s="5"/>
      <c r="P39" s="25" t="e">
        <f>P26</f>
        <v>#REF!</v>
      </c>
      <c r="Q39" s="5"/>
      <c r="R39" s="5"/>
      <c r="S39" s="5"/>
      <c r="T39" s="5"/>
      <c r="U39" s="5"/>
      <c r="X39" s="25">
        <f>X26</f>
        <v>5.6206199999999988</v>
      </c>
      <c r="AD39" s="25">
        <f>AD26</f>
        <v>6</v>
      </c>
      <c r="AE39" s="122"/>
      <c r="AF39" s="122"/>
      <c r="AG39" s="7"/>
      <c r="AH39" s="7"/>
      <c r="AI39" s="7"/>
      <c r="AJ39" s="7"/>
      <c r="AK39" s="25">
        <f>AK26</f>
        <v>23.354290000000002</v>
      </c>
      <c r="AL39" s="7"/>
      <c r="AM39" s="7"/>
      <c r="AN39" s="7"/>
      <c r="AO39" s="7"/>
      <c r="AP39" s="7"/>
      <c r="AQ39" s="7"/>
      <c r="AR39" s="25">
        <f>AR26</f>
        <v>7</v>
      </c>
      <c r="AS39" s="7"/>
      <c r="AU39" s="7"/>
      <c r="AV39" s="7"/>
      <c r="AW39" s="7"/>
      <c r="AX39" s="7"/>
      <c r="AY39" s="25">
        <f>AY26</f>
        <v>-0.96272999999999986</v>
      </c>
      <c r="AZ39" s="7"/>
      <c r="BA39" s="7"/>
      <c r="BB39" s="7"/>
      <c r="BC39" s="7"/>
      <c r="BD39" s="7"/>
      <c r="BE39" s="7"/>
      <c r="BF39" s="7"/>
      <c r="BM39" s="25">
        <f>BM26</f>
        <v>-26.27</v>
      </c>
    </row>
    <row r="40" spans="2:65" ht="15" customHeight="1" x14ac:dyDescent="0.25">
      <c r="B40" s="22" t="s">
        <v>36</v>
      </c>
      <c r="D40" s="5"/>
      <c r="E40" s="5"/>
      <c r="F40" s="5"/>
      <c r="G40" s="5"/>
      <c r="H40" s="5"/>
      <c r="I40" s="5"/>
      <c r="J40" s="5"/>
      <c r="K40" s="25">
        <f>K27</f>
        <v>480.20000000000005</v>
      </c>
      <c r="L40" s="5"/>
      <c r="M40" s="5"/>
      <c r="N40" s="5"/>
      <c r="O40" s="5"/>
      <c r="P40" s="25" t="e">
        <f>P27</f>
        <v>#REF!</v>
      </c>
      <c r="Q40" s="5"/>
      <c r="R40" s="5"/>
      <c r="S40" s="5"/>
      <c r="T40" s="5"/>
      <c r="U40" s="5"/>
      <c r="X40" s="25">
        <f>X27</f>
        <v>578.16117000000008</v>
      </c>
      <c r="AD40" s="25">
        <f>AD27</f>
        <v>597.61899999999991</v>
      </c>
      <c r="AE40" s="122"/>
      <c r="AF40" s="122"/>
      <c r="AG40" s="7"/>
      <c r="AH40" s="7"/>
      <c r="AI40" s="7"/>
      <c r="AJ40" s="7"/>
      <c r="AK40" s="25">
        <f>AK27</f>
        <v>586.41162000000008</v>
      </c>
      <c r="AL40" s="7"/>
      <c r="AM40" s="7"/>
      <c r="AN40" s="7"/>
      <c r="AO40" s="7"/>
      <c r="AP40" s="7"/>
      <c r="AQ40" s="7"/>
      <c r="AR40" s="25">
        <f>AR27</f>
        <v>648.43999999999994</v>
      </c>
      <c r="AS40" s="7"/>
      <c r="AU40" s="7"/>
      <c r="AV40" s="7"/>
      <c r="AW40" s="7"/>
      <c r="AX40" s="7"/>
      <c r="AY40" s="25">
        <f>AY27</f>
        <v>660.83820000000003</v>
      </c>
      <c r="AZ40" s="7"/>
      <c r="BA40" s="7"/>
      <c r="BB40" s="7"/>
      <c r="BC40" s="7"/>
      <c r="BD40" s="7"/>
      <c r="BE40" s="7"/>
      <c r="BF40" s="7"/>
      <c r="BM40" s="25">
        <f>BM27</f>
        <v>682.79</v>
      </c>
    </row>
    <row r="41" spans="2:65" x14ac:dyDescent="0.25">
      <c r="D41" s="5"/>
      <c r="E41" s="5"/>
      <c r="F41" s="5"/>
      <c r="G41" s="5"/>
      <c r="H41" s="5"/>
      <c r="I41" s="5"/>
      <c r="J41" s="5"/>
      <c r="L41" s="5"/>
      <c r="M41" s="5"/>
      <c r="N41" s="5"/>
      <c r="O41" s="5"/>
      <c r="Q41" s="5"/>
      <c r="R41" s="5"/>
      <c r="S41" s="5"/>
      <c r="T41" s="5"/>
      <c r="U41" s="5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65" x14ac:dyDescent="0.25">
      <c r="D42" s="5"/>
      <c r="E42" s="5"/>
      <c r="F42" s="5"/>
      <c r="G42" s="5"/>
      <c r="H42" s="5"/>
      <c r="I42" s="5"/>
      <c r="J42" s="5"/>
    </row>
    <row r="44" spans="2:65" hidden="1" x14ac:dyDescent="0.25"/>
    <row r="45" spans="2:65" hidden="1" x14ac:dyDescent="0.25">
      <c r="C45" s="29"/>
    </row>
    <row r="46" spans="2:65" hidden="1" x14ac:dyDescent="0.25">
      <c r="C46" s="29"/>
    </row>
    <row r="47" spans="2:65" hidden="1" x14ac:dyDescent="0.25">
      <c r="C47" s="29"/>
    </row>
    <row r="48" spans="2:65" hidden="1" x14ac:dyDescent="0.25">
      <c r="C48" s="29"/>
    </row>
    <row r="49" spans="3:3" hidden="1" x14ac:dyDescent="0.25">
      <c r="C49" s="29"/>
    </row>
    <row r="50" spans="3:3" hidden="1" x14ac:dyDescent="0.25">
      <c r="C50" s="29"/>
    </row>
    <row r="51" spans="3:3" hidden="1" x14ac:dyDescent="0.25">
      <c r="C51" s="29"/>
    </row>
    <row r="52" spans="3:3" hidden="1" x14ac:dyDescent="0.25">
      <c r="C52" s="29"/>
    </row>
    <row r="53" spans="3:3" hidden="1" x14ac:dyDescent="0.25">
      <c r="C53" s="310"/>
    </row>
    <row r="54" spans="3:3" hidden="1" x14ac:dyDescent="0.25">
      <c r="C54" s="310"/>
    </row>
    <row r="55" spans="3:3" hidden="1" x14ac:dyDescent="0.25">
      <c r="C55" s="310"/>
    </row>
    <row r="56" spans="3:3" hidden="1" x14ac:dyDescent="0.25">
      <c r="C56" s="310"/>
    </row>
    <row r="57" spans="3:3" hidden="1" x14ac:dyDescent="0.25">
      <c r="C57" s="310"/>
    </row>
    <row r="58" spans="3:3" hidden="1" x14ac:dyDescent="0.25">
      <c r="C58" s="310"/>
    </row>
    <row r="59" spans="3:3" hidden="1" x14ac:dyDescent="0.25">
      <c r="C59" s="310"/>
    </row>
    <row r="60" spans="3:3" hidden="1" x14ac:dyDescent="0.25">
      <c r="C60" s="310"/>
    </row>
    <row r="61" spans="3:3" hidden="1" x14ac:dyDescent="0.25">
      <c r="C61" s="310"/>
    </row>
    <row r="62" spans="3:3" hidden="1" x14ac:dyDescent="0.25">
      <c r="C62" s="310"/>
    </row>
    <row r="63" spans="3:3" hidden="1" x14ac:dyDescent="0.25">
      <c r="C63" s="310"/>
    </row>
    <row r="64" spans="3:3" hidden="1" x14ac:dyDescent="0.25">
      <c r="C64" s="310"/>
    </row>
    <row r="65" spans="3:3" x14ac:dyDescent="0.25">
      <c r="C65" s="310"/>
    </row>
    <row r="66" spans="3:3" x14ac:dyDescent="0.25">
      <c r="C66" s="310"/>
    </row>
    <row r="67" spans="3:3" x14ac:dyDescent="0.25">
      <c r="C67" s="310"/>
    </row>
    <row r="68" spans="3:3" x14ac:dyDescent="0.25">
      <c r="C68" s="310"/>
    </row>
    <row r="69" spans="3:3" x14ac:dyDescent="0.25">
      <c r="C69" s="310"/>
    </row>
    <row r="70" spans="3:3" x14ac:dyDescent="0.25">
      <c r="C70" s="310"/>
    </row>
    <row r="71" spans="3:3" x14ac:dyDescent="0.25">
      <c r="C71" s="310"/>
    </row>
    <row r="72" spans="3:3" x14ac:dyDescent="0.25">
      <c r="C72" s="310"/>
    </row>
    <row r="73" spans="3:3" x14ac:dyDescent="0.25">
      <c r="C73" s="310"/>
    </row>
    <row r="74" spans="3:3" x14ac:dyDescent="0.25">
      <c r="C74" s="310"/>
    </row>
    <row r="75" spans="3:3" x14ac:dyDescent="0.25">
      <c r="C75" s="310"/>
    </row>
    <row r="76" spans="3:3" x14ac:dyDescent="0.25">
      <c r="C76" s="310"/>
    </row>
    <row r="77" spans="3:3" x14ac:dyDescent="0.25">
      <c r="C77" s="310"/>
    </row>
    <row r="78" spans="3:3" x14ac:dyDescent="0.25">
      <c r="C78" s="310"/>
    </row>
    <row r="79" spans="3:3" x14ac:dyDescent="0.25">
      <c r="C79" s="310"/>
    </row>
    <row r="80" spans="3:3" x14ac:dyDescent="0.25">
      <c r="C80" s="310"/>
    </row>
    <row r="81" spans="3:3" x14ac:dyDescent="0.25">
      <c r="C81" s="310"/>
    </row>
    <row r="82" spans="3:3" x14ac:dyDescent="0.25">
      <c r="C82" s="310"/>
    </row>
    <row r="83" spans="3:3" x14ac:dyDescent="0.25">
      <c r="C83" s="310"/>
    </row>
    <row r="84" spans="3:3" x14ac:dyDescent="0.25">
      <c r="C84" s="310"/>
    </row>
    <row r="85" spans="3:3" x14ac:dyDescent="0.25">
      <c r="C85" s="310"/>
    </row>
    <row r="86" spans="3:3" x14ac:dyDescent="0.25">
      <c r="C86" s="310"/>
    </row>
    <row r="87" spans="3:3" x14ac:dyDescent="0.25">
      <c r="C87" s="310"/>
    </row>
    <row r="88" spans="3:3" x14ac:dyDescent="0.25">
      <c r="C88" s="310"/>
    </row>
    <row r="89" spans="3:3" x14ac:dyDescent="0.25">
      <c r="C89" s="310"/>
    </row>
    <row r="90" spans="3:3" x14ac:dyDescent="0.25">
      <c r="C90" s="310"/>
    </row>
    <row r="91" spans="3:3" x14ac:dyDescent="0.25">
      <c r="C91" s="310"/>
    </row>
    <row r="92" spans="3:3" x14ac:dyDescent="0.25">
      <c r="C92" s="310"/>
    </row>
    <row r="93" spans="3:3" x14ac:dyDescent="0.25">
      <c r="C93" s="310"/>
    </row>
    <row r="94" spans="3:3" x14ac:dyDescent="0.25">
      <c r="C94" s="310"/>
    </row>
    <row r="95" spans="3:3" x14ac:dyDescent="0.25">
      <c r="C95" s="310"/>
    </row>
    <row r="96" spans="3:3" x14ac:dyDescent="0.25">
      <c r="C96" s="310"/>
    </row>
    <row r="97" spans="3:3" x14ac:dyDescent="0.25">
      <c r="C97" s="310"/>
    </row>
    <row r="98" spans="3:3" x14ac:dyDescent="0.25">
      <c r="C98" s="310"/>
    </row>
    <row r="99" spans="3:3" x14ac:dyDescent="0.25">
      <c r="C99" s="310"/>
    </row>
    <row r="100" spans="3:3" x14ac:dyDescent="0.25">
      <c r="C100" s="310"/>
    </row>
    <row r="101" spans="3:3" x14ac:dyDescent="0.25">
      <c r="C101" s="310"/>
    </row>
    <row r="102" spans="3:3" x14ac:dyDescent="0.25">
      <c r="C102" s="310"/>
    </row>
    <row r="103" spans="3:3" x14ac:dyDescent="0.25">
      <c r="C103" s="310"/>
    </row>
    <row r="104" spans="3:3" x14ac:dyDescent="0.25">
      <c r="C104" s="310"/>
    </row>
    <row r="105" spans="3:3" x14ac:dyDescent="0.25">
      <c r="C105" s="310"/>
    </row>
    <row r="106" spans="3:3" x14ac:dyDescent="0.25">
      <c r="C106" s="310"/>
    </row>
    <row r="107" spans="3:3" x14ac:dyDescent="0.25">
      <c r="C107" s="310"/>
    </row>
    <row r="108" spans="3:3" x14ac:dyDescent="0.25">
      <c r="C108" s="310"/>
    </row>
    <row r="109" spans="3:3" x14ac:dyDescent="0.25">
      <c r="C109" s="310"/>
    </row>
    <row r="110" spans="3:3" x14ac:dyDescent="0.25">
      <c r="C110" s="310"/>
    </row>
    <row r="111" spans="3:3" x14ac:dyDescent="0.25">
      <c r="C111" s="310"/>
    </row>
    <row r="112" spans="3:3" x14ac:dyDescent="0.25">
      <c r="C112" s="310"/>
    </row>
    <row r="113" spans="3:3" x14ac:dyDescent="0.25">
      <c r="C113" s="310"/>
    </row>
    <row r="114" spans="3:3" x14ac:dyDescent="0.25">
      <c r="C114" s="310"/>
    </row>
    <row r="115" spans="3:3" x14ac:dyDescent="0.25">
      <c r="C115" s="310"/>
    </row>
    <row r="116" spans="3:3" x14ac:dyDescent="0.25">
      <c r="C116" s="310"/>
    </row>
    <row r="117" spans="3:3" x14ac:dyDescent="0.25">
      <c r="C117" s="310"/>
    </row>
    <row r="118" spans="3:3" x14ac:dyDescent="0.25">
      <c r="C118" s="310"/>
    </row>
    <row r="119" spans="3:3" x14ac:dyDescent="0.25">
      <c r="C119" s="310"/>
    </row>
    <row r="120" spans="3:3" x14ac:dyDescent="0.25">
      <c r="C120" s="310"/>
    </row>
    <row r="121" spans="3:3" x14ac:dyDescent="0.25">
      <c r="C121" s="310"/>
    </row>
    <row r="122" spans="3:3" x14ac:dyDescent="0.25">
      <c r="C122" s="310"/>
    </row>
    <row r="123" spans="3:3" x14ac:dyDescent="0.25">
      <c r="C123" s="310"/>
    </row>
    <row r="124" spans="3:3" x14ac:dyDescent="0.25">
      <c r="C124" s="310"/>
    </row>
    <row r="125" spans="3:3" x14ac:dyDescent="0.25">
      <c r="C125" s="310"/>
    </row>
    <row r="126" spans="3:3" x14ac:dyDescent="0.25">
      <c r="C126" s="310"/>
    </row>
    <row r="127" spans="3:3" x14ac:dyDescent="0.25">
      <c r="C127" s="310"/>
    </row>
    <row r="128" spans="3:3" x14ac:dyDescent="0.25">
      <c r="C128" s="310"/>
    </row>
    <row r="129" spans="3:3" x14ac:dyDescent="0.25">
      <c r="C129" s="310"/>
    </row>
    <row r="130" spans="3:3" x14ac:dyDescent="0.25">
      <c r="C130" s="310"/>
    </row>
    <row r="131" spans="3:3" x14ac:dyDescent="0.25">
      <c r="C131" s="310"/>
    </row>
    <row r="132" spans="3:3" x14ac:dyDescent="0.25">
      <c r="C132" s="310"/>
    </row>
    <row r="133" spans="3:3" x14ac:dyDescent="0.25">
      <c r="C133" s="310"/>
    </row>
    <row r="134" spans="3:3" x14ac:dyDescent="0.25">
      <c r="C134" s="310"/>
    </row>
    <row r="135" spans="3:3" x14ac:dyDescent="0.25">
      <c r="C135" s="310"/>
    </row>
    <row r="136" spans="3:3" x14ac:dyDescent="0.25">
      <c r="C136" s="310"/>
    </row>
    <row r="137" spans="3:3" x14ac:dyDescent="0.25">
      <c r="C137" s="310"/>
    </row>
    <row r="138" spans="3:3" x14ac:dyDescent="0.25">
      <c r="C138" s="310"/>
    </row>
    <row r="139" spans="3:3" x14ac:dyDescent="0.25">
      <c r="C139" s="310"/>
    </row>
    <row r="140" spans="3:3" x14ac:dyDescent="0.25">
      <c r="C140" s="310"/>
    </row>
    <row r="141" spans="3:3" x14ac:dyDescent="0.25">
      <c r="C141" s="310"/>
    </row>
    <row r="142" spans="3:3" x14ac:dyDescent="0.25">
      <c r="C142" s="310"/>
    </row>
    <row r="143" spans="3:3" x14ac:dyDescent="0.25">
      <c r="C143" s="310"/>
    </row>
  </sheetData>
  <sheetProtection password="95B0" sheet="1" objects="1" scenarios="1"/>
  <mergeCells count="8">
    <mergeCell ref="BK3:BM3"/>
    <mergeCell ref="R3:T3"/>
    <mergeCell ref="V3:X3"/>
    <mergeCell ref="AB3:AD3"/>
    <mergeCell ref="AI3:AK3"/>
    <mergeCell ref="BD3:BF3"/>
    <mergeCell ref="AP3:AR3"/>
    <mergeCell ref="AW3:AY3"/>
  </mergeCells>
  <conditionalFormatting sqref="C144:C1048576 C1:C52">
    <cfRule type="duplicateValues" dxfId="8" priority="1"/>
  </conditionalFormatting>
  <pageMargins left="0.31496062992125984" right="0.31496062992125984" top="0.35433070866141736" bottom="0.35433070866141736" header="0.31496062992125984" footer="0.31496062992125984"/>
  <pageSetup paperSize="8" orientation="landscape" r:id="rId1"/>
  <ignoredErrors>
    <ignoredError sqref="C5:C25" numberStoredAsText="1"/>
    <ignoredError sqref="V13:BM13 W20:BM20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BN319"/>
  <sheetViews>
    <sheetView showGridLines="0" zoomScale="80" zoomScaleNormal="80" workbookViewId="0">
      <pane xSplit="10" ySplit="4" topLeftCell="K5" activePane="bottomRight" state="frozen"/>
      <selection activeCell="E12" sqref="E12"/>
      <selection pane="topRight" activeCell="E12" sqref="E12"/>
      <selection pane="bottomLeft" activeCell="E12" sqref="E12"/>
      <selection pane="bottomRight" activeCell="B3" sqref="B3"/>
    </sheetView>
  </sheetViews>
  <sheetFormatPr baseColWidth="10" defaultColWidth="11.42578125" defaultRowHeight="15" outlineLevelRow="3" outlineLevelCol="2" x14ac:dyDescent="0.25"/>
  <cols>
    <col min="1" max="1" width="4.7109375" style="32" customWidth="1"/>
    <col min="2" max="2" width="27.85546875" style="31" customWidth="1"/>
    <col min="3" max="3" width="14.28515625" style="311" customWidth="1"/>
    <col min="4" max="4" width="10.140625" style="32" hidden="1" customWidth="1" outlineLevel="1"/>
    <col min="5" max="5" width="11.42578125" style="32" hidden="1" customWidth="1" outlineLevel="1"/>
    <col min="6" max="6" width="11.42578125" style="32" hidden="1" customWidth="1"/>
    <col min="7" max="8" width="1.7109375" style="32" hidden="1" customWidth="1"/>
    <col min="9" max="9" width="10.140625" style="32" hidden="1" customWidth="1" outlineLevel="1"/>
    <col min="10" max="10" width="8.85546875" style="32" hidden="1" customWidth="1" outlineLevel="1"/>
    <col min="11" max="11" width="11.42578125" style="32" hidden="1" customWidth="1"/>
    <col min="12" max="13" width="1.7109375" style="32" hidden="1" customWidth="1" outlineLevel="2"/>
    <col min="14" max="15" width="11.7109375" style="32" hidden="1" customWidth="1" outlineLevel="2"/>
    <col min="16" max="16" width="11.7109375" style="32" hidden="1" customWidth="1"/>
    <col min="17" max="17" width="1.7109375" style="32" hidden="1" customWidth="1"/>
    <col min="18" max="20" width="10.28515625" style="32" hidden="1" customWidth="1" outlineLevel="1"/>
    <col min="21" max="21" width="1.7109375" style="32" hidden="1" customWidth="1"/>
    <col min="22" max="24" width="10.28515625" style="32" customWidth="1" outlineLevel="1"/>
    <col min="25" max="25" width="1.7109375" style="32" customWidth="1" outlineLevel="1"/>
    <col min="26" max="26" width="8.5703125" style="32" hidden="1" customWidth="1" outlineLevel="1"/>
    <col min="27" max="27" width="1.7109375" style="32" hidden="1" customWidth="1" outlineLevel="1"/>
    <col min="28" max="29" width="10.28515625" style="32" hidden="1" customWidth="1"/>
    <col min="30" max="30" width="10.28515625" style="7" hidden="1" customWidth="1"/>
    <col min="31" max="31" width="1.7109375" style="33" hidden="1" customWidth="1"/>
    <col min="32" max="32" width="8.5703125" style="32" hidden="1" customWidth="1"/>
    <col min="33" max="33" width="70.5703125" style="31" hidden="1" customWidth="1" outlineLevel="1"/>
    <col min="34" max="34" width="1.7109375" style="32" hidden="1" customWidth="1"/>
    <col min="35" max="37" width="10.28515625" style="32" customWidth="1" outlineLevel="2"/>
    <col min="38" max="38" width="2.28515625" style="32" customWidth="1" outlineLevel="2"/>
    <col min="39" max="39" width="8.5703125" style="32" hidden="1" customWidth="1" outlineLevel="2"/>
    <col min="40" max="40" width="19.28515625" style="32" hidden="1" customWidth="1" outlineLevel="2"/>
    <col min="41" max="41" width="1.7109375" style="32" hidden="1" customWidth="1"/>
    <col min="42" max="44" width="10.28515625" style="32" customWidth="1" outlineLevel="1"/>
    <col min="45" max="45" width="1.7109375" style="32" customWidth="1" outlineLevel="1"/>
    <col min="46" max="46" width="8.5703125" style="32" hidden="1" customWidth="1" outlineLevel="1"/>
    <col min="47" max="47" width="50.7109375" style="32" hidden="1" customWidth="1" outlineLevel="1"/>
    <col min="48" max="48" width="1.7109375" style="32" hidden="1" customWidth="1"/>
    <col min="49" max="51" width="10.28515625" style="32" customWidth="1" outlineLevel="1"/>
    <col min="52" max="54" width="10.28515625" style="32" hidden="1" customWidth="1" outlineLevel="1"/>
    <col min="55" max="55" width="1.5703125" style="32" hidden="1" customWidth="1"/>
    <col min="56" max="59" width="10.28515625" style="32" hidden="1" customWidth="1" outlineLevel="1"/>
    <col min="60" max="60" width="1.7109375" style="32" hidden="1" customWidth="1" outlineLevel="1"/>
    <col min="61" max="61" width="10.28515625" style="32" hidden="1" customWidth="1" outlineLevel="1"/>
    <col min="62" max="62" width="1.7109375" style="32" customWidth="1" collapsed="1"/>
    <col min="63" max="65" width="10.28515625" style="32" customWidth="1" outlineLevel="1"/>
    <col min="66" max="66" width="1.7109375" style="32" customWidth="1" outlineLevel="1"/>
    <col min="67" max="68" width="10.28515625" style="32" customWidth="1"/>
    <col min="69" max="69" width="1.7109375" style="32" customWidth="1"/>
    <col min="70" max="86" width="10.28515625" style="32" customWidth="1"/>
    <col min="87" max="16384" width="11.42578125" style="32"/>
  </cols>
  <sheetData>
    <row r="1" spans="1:66" ht="18.75" x14ac:dyDescent="0.25">
      <c r="B1" s="30" t="s">
        <v>5</v>
      </c>
    </row>
    <row r="3" spans="1:66" ht="18.75" x14ac:dyDescent="0.25">
      <c r="B3" s="390" t="s">
        <v>5</v>
      </c>
      <c r="C3" s="39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2"/>
      <c r="P3" s="102"/>
      <c r="R3" s="601" t="s">
        <v>384</v>
      </c>
      <c r="S3" s="601"/>
      <c r="T3" s="601"/>
      <c r="V3" s="602" t="s">
        <v>381</v>
      </c>
      <c r="W3" s="602"/>
      <c r="X3" s="602"/>
      <c r="Y3" s="34"/>
      <c r="Z3" s="125" t="s">
        <v>393</v>
      </c>
      <c r="AB3" s="603" t="s">
        <v>385</v>
      </c>
      <c r="AC3" s="603"/>
      <c r="AD3" s="603"/>
      <c r="AI3" s="589" t="s">
        <v>439</v>
      </c>
      <c r="AJ3" s="589"/>
      <c r="AK3" s="589"/>
      <c r="AL3" s="8"/>
      <c r="AM3" s="8"/>
      <c r="AN3" s="8" t="s">
        <v>440</v>
      </c>
      <c r="AO3" s="8"/>
      <c r="AP3" s="591" t="s">
        <v>441</v>
      </c>
      <c r="AQ3" s="591"/>
      <c r="AR3" s="591"/>
      <c r="AS3" s="223"/>
      <c r="AT3" s="8"/>
      <c r="AU3" s="8" t="s">
        <v>13</v>
      </c>
      <c r="AV3" s="8"/>
      <c r="AW3" s="592" t="s">
        <v>598</v>
      </c>
      <c r="AX3" s="592"/>
      <c r="AY3" s="592"/>
      <c r="AZ3" s="8"/>
      <c r="BA3" s="8"/>
      <c r="BB3" s="8"/>
      <c r="BC3" s="8"/>
      <c r="BD3" s="590" t="e">
        <f>"Situation 2022 : "&amp;ROUND((-SUM(#REF!)+SUM(#REF!))/1000,3)&amp;" k€"</f>
        <v>#REF!</v>
      </c>
      <c r="BE3" s="590"/>
      <c r="BF3" s="590"/>
      <c r="BG3" s="8"/>
      <c r="BK3" s="585" t="s">
        <v>599</v>
      </c>
      <c r="BL3" s="585"/>
      <c r="BM3" s="585"/>
      <c r="BN3" s="223"/>
    </row>
    <row r="4" spans="1:66" ht="15" customHeight="1" x14ac:dyDescent="0.25">
      <c r="B4" s="383" t="s">
        <v>1</v>
      </c>
      <c r="C4" s="384"/>
      <c r="D4" s="100" t="s">
        <v>8</v>
      </c>
      <c r="E4" s="100" t="s">
        <v>9</v>
      </c>
      <c r="F4" s="100" t="s">
        <v>10</v>
      </c>
      <c r="G4" s="101"/>
      <c r="H4" s="103"/>
      <c r="I4" s="100" t="s">
        <v>8</v>
      </c>
      <c r="J4" s="100" t="s">
        <v>9</v>
      </c>
      <c r="K4" s="104" t="s">
        <v>2</v>
      </c>
      <c r="L4" s="101"/>
      <c r="M4" s="101"/>
      <c r="N4" s="100" t="s">
        <v>8</v>
      </c>
      <c r="O4" s="100" t="s">
        <v>9</v>
      </c>
      <c r="P4" s="99" t="s">
        <v>3</v>
      </c>
      <c r="Q4" s="34"/>
      <c r="R4" s="88" t="s">
        <v>8</v>
      </c>
      <c r="S4" s="88" t="s">
        <v>9</v>
      </c>
      <c r="T4" s="89" t="s">
        <v>11</v>
      </c>
      <c r="U4" s="35"/>
      <c r="V4" s="404" t="s">
        <v>8</v>
      </c>
      <c r="W4" s="404" t="s">
        <v>9</v>
      </c>
      <c r="X4" s="405" t="s">
        <v>12</v>
      </c>
      <c r="Y4" s="28"/>
      <c r="Z4" s="125" t="s">
        <v>430</v>
      </c>
      <c r="AA4" s="34"/>
      <c r="AB4" s="245" t="s">
        <v>8</v>
      </c>
      <c r="AC4" s="245" t="s">
        <v>9</v>
      </c>
      <c r="AD4" s="246" t="s">
        <v>64</v>
      </c>
      <c r="AE4" s="192"/>
      <c r="AF4" s="138" t="s">
        <v>392</v>
      </c>
      <c r="AI4" s="147" t="s">
        <v>8</v>
      </c>
      <c r="AJ4" s="147" t="s">
        <v>9</v>
      </c>
      <c r="AK4" s="147" t="s">
        <v>64</v>
      </c>
      <c r="AL4" s="9"/>
      <c r="AM4" s="124" t="s">
        <v>422</v>
      </c>
      <c r="AN4" s="219"/>
      <c r="AO4" s="219"/>
      <c r="AP4" s="337" t="s">
        <v>8</v>
      </c>
      <c r="AQ4" s="337" t="s">
        <v>9</v>
      </c>
      <c r="AR4" s="337" t="s">
        <v>64</v>
      </c>
      <c r="AS4" s="225"/>
      <c r="AT4" s="20" t="s">
        <v>478</v>
      </c>
      <c r="AU4" s="20"/>
      <c r="AV4" s="20"/>
      <c r="AW4" s="135" t="s">
        <v>8</v>
      </c>
      <c r="AX4" s="135" t="s">
        <v>9</v>
      </c>
      <c r="AY4" s="135" t="s">
        <v>64</v>
      </c>
      <c r="AZ4" s="20"/>
      <c r="BA4" s="28" t="s">
        <v>323</v>
      </c>
      <c r="BB4" s="219" t="s">
        <v>13</v>
      </c>
      <c r="BC4" s="20"/>
      <c r="BD4" s="220" t="s">
        <v>8</v>
      </c>
      <c r="BE4" s="220" t="s">
        <v>9</v>
      </c>
      <c r="BF4" s="220" t="s">
        <v>64</v>
      </c>
      <c r="BG4" s="220" t="s">
        <v>442</v>
      </c>
      <c r="BK4" s="343" t="s">
        <v>8</v>
      </c>
      <c r="BL4" s="343" t="s">
        <v>9</v>
      </c>
      <c r="BM4" s="343" t="s">
        <v>64</v>
      </c>
      <c r="BN4" s="225"/>
    </row>
    <row r="5" spans="1:66" ht="15" customHeight="1" outlineLevel="2" x14ac:dyDescent="0.25">
      <c r="A5" s="32">
        <v>1</v>
      </c>
      <c r="B5" s="385" t="s">
        <v>37</v>
      </c>
      <c r="C5" s="386" t="s">
        <v>38</v>
      </c>
      <c r="D5" s="37">
        <v>-1.8</v>
      </c>
      <c r="E5" s="37">
        <v>0</v>
      </c>
      <c r="F5" s="37">
        <f>SUM(D5:E5)</f>
        <v>-1.8</v>
      </c>
      <c r="G5" s="38"/>
      <c r="H5" s="39"/>
      <c r="I5" s="37">
        <v>-0.5</v>
      </c>
      <c r="J5" s="37">
        <v>0</v>
      </c>
      <c r="K5" s="37">
        <f t="shared" ref="K5:K23" si="0">SUM(I5:J5)</f>
        <v>-0.5</v>
      </c>
      <c r="L5" s="38"/>
      <c r="M5" s="38"/>
      <c r="N5" s="37" t="e">
        <f>-SUMIF(#REF!,$C5,#REF!)/1000</f>
        <v>#REF!</v>
      </c>
      <c r="O5" s="37" t="e">
        <f>SUMIF(#REF!,$C5,#REF!)/1000</f>
        <v>#REF!</v>
      </c>
      <c r="P5" s="37" t="e">
        <f>N5+O5</f>
        <v>#REF!</v>
      </c>
      <c r="Q5" s="39"/>
      <c r="R5" s="156">
        <v>-1.5</v>
      </c>
      <c r="S5" s="156">
        <v>1</v>
      </c>
      <c r="T5" s="156">
        <f>R5+S5</f>
        <v>-0.5</v>
      </c>
      <c r="U5" s="37"/>
      <c r="V5" s="406">
        <v>-0.10199999999999999</v>
      </c>
      <c r="W5" s="406">
        <v>0</v>
      </c>
      <c r="X5" s="406">
        <f t="shared" ref="X5:X12" si="1">SUM(V5:W5)</f>
        <v>-0.10199999999999999</v>
      </c>
      <c r="Y5" s="46"/>
      <c r="Z5" s="131" t="s">
        <v>415</v>
      </c>
      <c r="AA5" s="39"/>
      <c r="AB5" s="247">
        <v>0</v>
      </c>
      <c r="AC5" s="247">
        <v>0</v>
      </c>
      <c r="AD5" s="247">
        <f>AB5+AC5</f>
        <v>0</v>
      </c>
      <c r="AE5" s="193"/>
      <c r="AF5" s="266"/>
      <c r="AG5" s="194" t="s">
        <v>394</v>
      </c>
      <c r="AH5" s="195"/>
      <c r="AI5" s="163">
        <v>0</v>
      </c>
      <c r="AJ5" s="163">
        <v>0.61415999999999993</v>
      </c>
      <c r="AK5" s="163">
        <v>0.61415999999999993</v>
      </c>
      <c r="AL5" s="163"/>
      <c r="AM5" s="20"/>
      <c r="AN5" s="20"/>
      <c r="AO5" s="20"/>
      <c r="AP5" s="338">
        <v>-1</v>
      </c>
      <c r="AQ5" s="338">
        <v>1</v>
      </c>
      <c r="AR5" s="338">
        <f>AP5+AQ5</f>
        <v>0</v>
      </c>
      <c r="AS5" s="225"/>
      <c r="AT5" s="269">
        <v>1</v>
      </c>
      <c r="AU5" s="20" t="s">
        <v>461</v>
      </c>
      <c r="AV5" s="20"/>
      <c r="AW5" s="331">
        <v>0</v>
      </c>
      <c r="AX5" s="331">
        <v>0</v>
      </c>
      <c r="AY5" s="331">
        <f>AX5+AW5</f>
        <v>0</v>
      </c>
      <c r="AZ5" s="20"/>
      <c r="BA5" s="20"/>
      <c r="BB5" s="20"/>
      <c r="BC5" s="20"/>
      <c r="BD5" s="221" t="e">
        <f>-SUMIF(#REF!,'pôles &amp; actions'!$C5,#REF!)/1000</f>
        <v>#REF!</v>
      </c>
      <c r="BE5" s="221" t="e">
        <f>SUMIF(#REF!,'pôles &amp; actions'!$C5,#REF!)/1000</f>
        <v>#REF!</v>
      </c>
      <c r="BF5" s="221" t="e">
        <f t="shared" ref="BF5:BF6" si="2">BE5+BD5</f>
        <v>#REF!</v>
      </c>
      <c r="BG5" s="221" t="e">
        <f t="shared" ref="BG5:BG36" si="3">AR5-BF5</f>
        <v>#REF!</v>
      </c>
      <c r="BK5" s="344"/>
      <c r="BL5" s="344"/>
      <c r="BM5" s="344">
        <f>BK5+BL5</f>
        <v>0</v>
      </c>
      <c r="BN5" s="225"/>
    </row>
    <row r="6" spans="1:66" ht="15" customHeight="1" outlineLevel="2" x14ac:dyDescent="0.25">
      <c r="A6" s="324">
        <v>2</v>
      </c>
      <c r="B6" s="385" t="s">
        <v>39</v>
      </c>
      <c r="C6" s="386" t="s">
        <v>40</v>
      </c>
      <c r="D6" s="37">
        <v>-0.05</v>
      </c>
      <c r="E6" s="37">
        <v>0</v>
      </c>
      <c r="F6" s="37">
        <f>SUM(D6:E6)</f>
        <v>-0.05</v>
      </c>
      <c r="G6" s="38"/>
      <c r="H6" s="39"/>
      <c r="I6" s="37">
        <v>-1</v>
      </c>
      <c r="J6" s="37">
        <v>0.95</v>
      </c>
      <c r="K6" s="37">
        <f t="shared" si="0"/>
        <v>-5.0000000000000044E-2</v>
      </c>
      <c r="L6" s="38"/>
      <c r="M6" s="38"/>
      <c r="N6" s="37" t="e">
        <f>-SUMIF(#REF!,$C6,#REF!)/1000</f>
        <v>#REF!</v>
      </c>
      <c r="O6" s="37" t="e">
        <f>SUMIF(#REF!,$C6,#REF!)/1000</f>
        <v>#REF!</v>
      </c>
      <c r="P6" s="37" t="e">
        <f>N6+O6</f>
        <v>#REF!</v>
      </c>
      <c r="Q6" s="39"/>
      <c r="R6" s="157">
        <v>-0.3</v>
      </c>
      <c r="S6" s="157">
        <v>0.25</v>
      </c>
      <c r="T6" s="157">
        <f>R6+S6</f>
        <v>-4.9999999999999989E-2</v>
      </c>
      <c r="U6" s="37"/>
      <c r="V6" s="407">
        <v>-0.29457</v>
      </c>
      <c r="W6" s="407">
        <v>0.27189999999999998</v>
      </c>
      <c r="X6" s="407">
        <f t="shared" si="1"/>
        <v>-2.2670000000000023E-2</v>
      </c>
      <c r="Y6" s="46"/>
      <c r="Z6" s="131" t="s">
        <v>415</v>
      </c>
      <c r="AA6" s="39"/>
      <c r="AB6" s="248">
        <v>-0.2</v>
      </c>
      <c r="AC6" s="248">
        <v>0.15</v>
      </c>
      <c r="AD6" s="248">
        <f>AB6+AC6</f>
        <v>-5.0000000000000017E-2</v>
      </c>
      <c r="AE6" s="193"/>
      <c r="AF6" s="266"/>
      <c r="AG6" s="194"/>
      <c r="AH6" s="195"/>
      <c r="AI6" s="163">
        <v>-0.66415999999999997</v>
      </c>
      <c r="AJ6" s="163">
        <v>0.05</v>
      </c>
      <c r="AK6" s="163">
        <v>-0.61415999999999993</v>
      </c>
      <c r="AL6" s="163"/>
      <c r="AM6" s="20"/>
      <c r="AN6" s="20"/>
      <c r="AO6" s="20"/>
      <c r="AP6" s="339">
        <v>-0.1</v>
      </c>
      <c r="AQ6" s="339">
        <v>0.05</v>
      </c>
      <c r="AR6" s="339">
        <f t="shared" ref="AR6:AR72" si="4">AP6+AQ6</f>
        <v>-0.05</v>
      </c>
      <c r="AS6" s="225"/>
      <c r="AT6" s="267"/>
      <c r="AU6" s="20" t="s">
        <v>459</v>
      </c>
      <c r="AV6" s="20"/>
      <c r="AW6" s="331">
        <v>-0.46894999999999998</v>
      </c>
      <c r="AX6" s="331">
        <v>0.42033999999999999</v>
      </c>
      <c r="AY6" s="331">
        <f t="shared" ref="AY6:AY22" si="5">AX6+AW6</f>
        <v>-4.8609999999999987E-2</v>
      </c>
      <c r="AZ6" s="20"/>
      <c r="BA6" s="20"/>
      <c r="BB6" s="20"/>
      <c r="BC6" s="20"/>
      <c r="BD6" s="221" t="e">
        <f>-SUMIF(#REF!,'pôles &amp; actions'!$C6,#REF!)/1000</f>
        <v>#REF!</v>
      </c>
      <c r="BE6" s="221" t="e">
        <f>SUMIF(#REF!,'pôles &amp; actions'!$C6,#REF!)/1000</f>
        <v>#REF!</v>
      </c>
      <c r="BF6" s="221" t="e">
        <f t="shared" si="2"/>
        <v>#REF!</v>
      </c>
      <c r="BG6" s="221" t="e">
        <f t="shared" si="3"/>
        <v>#REF!</v>
      </c>
      <c r="BK6" s="345">
        <v>-0.1</v>
      </c>
      <c r="BL6" s="345">
        <v>0.05</v>
      </c>
      <c r="BM6" s="345">
        <f t="shared" ref="BM6:BM23" si="6">BK6+BL6</f>
        <v>-0.05</v>
      </c>
      <c r="BN6" s="225"/>
    </row>
    <row r="7" spans="1:66" ht="15" customHeight="1" outlineLevel="2" x14ac:dyDescent="0.25">
      <c r="A7" s="324">
        <v>3</v>
      </c>
      <c r="B7" s="385" t="s">
        <v>41</v>
      </c>
      <c r="C7" s="386" t="s">
        <v>42</v>
      </c>
      <c r="D7" s="37">
        <v>0</v>
      </c>
      <c r="E7" s="37">
        <v>0</v>
      </c>
      <c r="F7" s="37">
        <f>SUM(D7:E7)</f>
        <v>0</v>
      </c>
      <c r="G7" s="38"/>
      <c r="H7" s="39"/>
      <c r="I7" s="37">
        <v>0</v>
      </c>
      <c r="J7" s="37">
        <v>0</v>
      </c>
      <c r="K7" s="37">
        <f t="shared" si="0"/>
        <v>0</v>
      </c>
      <c r="L7" s="38"/>
      <c r="M7" s="38"/>
      <c r="N7" s="37" t="e">
        <f>-SUMIF(#REF!,$C7,#REF!)/1000</f>
        <v>#REF!</v>
      </c>
      <c r="O7" s="37" t="e">
        <f>SUMIF(#REF!,$C7,#REF!)/1000</f>
        <v>#REF!</v>
      </c>
      <c r="P7" s="37" t="e">
        <f>N7+O7</f>
        <v>#REF!</v>
      </c>
      <c r="Q7" s="39"/>
      <c r="R7" s="157"/>
      <c r="S7" s="157"/>
      <c r="T7" s="157">
        <f>R7+S7</f>
        <v>0</v>
      </c>
      <c r="U7" s="37"/>
      <c r="V7" s="407">
        <v>0</v>
      </c>
      <c r="W7" s="407">
        <v>0</v>
      </c>
      <c r="X7" s="407">
        <f t="shared" si="1"/>
        <v>0</v>
      </c>
      <c r="Y7" s="46"/>
      <c r="Z7" s="46"/>
      <c r="AA7" s="39"/>
      <c r="AB7" s="248"/>
      <c r="AC7" s="248"/>
      <c r="AD7" s="248">
        <f>AB7+AC7</f>
        <v>0</v>
      </c>
      <c r="AE7" s="193"/>
      <c r="AF7" s="199"/>
      <c r="AG7" s="194"/>
      <c r="AH7" s="195"/>
      <c r="AI7" s="163">
        <v>0</v>
      </c>
      <c r="AJ7" s="163">
        <v>0</v>
      </c>
      <c r="AK7" s="163">
        <v>0</v>
      </c>
      <c r="AL7" s="163"/>
      <c r="AM7" s="20"/>
      <c r="AN7" s="20"/>
      <c r="AO7" s="20"/>
      <c r="AP7" s="339"/>
      <c r="AQ7" s="339"/>
      <c r="AR7" s="339">
        <f t="shared" si="4"/>
        <v>0</v>
      </c>
      <c r="AS7" s="225"/>
      <c r="AT7" s="267"/>
      <c r="AU7" s="20"/>
      <c r="AV7" s="20"/>
      <c r="AW7" s="331">
        <v>0</v>
      </c>
      <c r="AX7" s="331">
        <v>0</v>
      </c>
      <c r="AY7" s="331">
        <f t="shared" si="5"/>
        <v>0</v>
      </c>
      <c r="AZ7" s="20"/>
      <c r="BA7" s="20"/>
      <c r="BB7" s="20"/>
      <c r="BC7" s="20"/>
      <c r="BD7" s="221" t="e">
        <f>-SUMIF(#REF!,'pôles &amp; actions'!$C7,#REF!)/1000</f>
        <v>#REF!</v>
      </c>
      <c r="BE7" s="221" t="e">
        <f>SUMIF(#REF!,'pôles &amp; actions'!$C7,#REF!)/1000</f>
        <v>#REF!</v>
      </c>
      <c r="BF7" s="221" t="e">
        <f t="shared" ref="BF7:BF73" si="7">BE7+BD7</f>
        <v>#REF!</v>
      </c>
      <c r="BG7" s="221" t="e">
        <f t="shared" si="3"/>
        <v>#REF!</v>
      </c>
      <c r="BK7" s="345"/>
      <c r="BL7" s="345"/>
      <c r="BM7" s="345">
        <f t="shared" si="6"/>
        <v>0</v>
      </c>
      <c r="BN7" s="225"/>
    </row>
    <row r="8" spans="1:66" ht="15" customHeight="1" outlineLevel="2" x14ac:dyDescent="0.25">
      <c r="A8" s="324">
        <v>4</v>
      </c>
      <c r="B8" s="385" t="s">
        <v>43</v>
      </c>
      <c r="C8" s="386" t="s">
        <v>44</v>
      </c>
      <c r="D8" s="37">
        <v>-4</v>
      </c>
      <c r="E8" s="37">
        <v>2</v>
      </c>
      <c r="F8" s="37">
        <f>SUM(D8:E8)</f>
        <v>-2</v>
      </c>
      <c r="G8" s="38"/>
      <c r="H8" s="39"/>
      <c r="I8" s="37">
        <v>-3.4</v>
      </c>
      <c r="J8" s="37">
        <v>1.75</v>
      </c>
      <c r="K8" s="37">
        <f t="shared" si="0"/>
        <v>-1.65</v>
      </c>
      <c r="L8" s="38"/>
      <c r="M8" s="38"/>
      <c r="N8" s="37" t="e">
        <f>-SUMIF(#REF!,$C8,#REF!)/1000</f>
        <v>#REF!</v>
      </c>
      <c r="O8" s="37" t="e">
        <f>SUMIF(#REF!,$C8,#REF!)/1000</f>
        <v>#REF!</v>
      </c>
      <c r="P8" s="37" t="e">
        <f>N8+O8</f>
        <v>#REF!</v>
      </c>
      <c r="Q8" s="39"/>
      <c r="R8" s="157">
        <v>-4.5</v>
      </c>
      <c r="S8" s="157">
        <v>2.75</v>
      </c>
      <c r="T8" s="157">
        <f>R8+S8</f>
        <v>-1.75</v>
      </c>
      <c r="U8" s="37"/>
      <c r="V8" s="407">
        <v>0</v>
      </c>
      <c r="W8" s="407">
        <v>2.2670000000000003E-2</v>
      </c>
      <c r="X8" s="407">
        <f t="shared" si="1"/>
        <v>2.2670000000000003E-2</v>
      </c>
      <c r="Y8" s="46"/>
      <c r="Z8" s="131" t="s">
        <v>415</v>
      </c>
      <c r="AA8" s="39"/>
      <c r="AB8" s="248">
        <f>-4.5/2</f>
        <v>-2.25</v>
      </c>
      <c r="AC8" s="248">
        <f>3/2</f>
        <v>1.5</v>
      </c>
      <c r="AD8" s="248">
        <f>AB8+AC8</f>
        <v>-0.75</v>
      </c>
      <c r="AE8" s="193"/>
      <c r="AF8" s="138">
        <v>0.8</v>
      </c>
      <c r="AG8" s="194"/>
      <c r="AH8" s="195"/>
      <c r="AI8" s="163">
        <v>-4.9457399999999998</v>
      </c>
      <c r="AJ8" s="163">
        <v>4.1042800000000002</v>
      </c>
      <c r="AK8" s="163">
        <v>-0.84145999999999965</v>
      </c>
      <c r="AL8" s="163"/>
      <c r="AM8" s="20"/>
      <c r="AN8" s="20"/>
      <c r="AO8" s="20"/>
      <c r="AP8" s="339">
        <v>-4.5</v>
      </c>
      <c r="AQ8" s="339">
        <v>2.5</v>
      </c>
      <c r="AR8" s="339">
        <f t="shared" si="4"/>
        <v>-2</v>
      </c>
      <c r="AS8" s="225"/>
      <c r="AT8" s="269">
        <v>2</v>
      </c>
      <c r="AU8" s="20" t="s">
        <v>462</v>
      </c>
      <c r="AV8" s="20"/>
      <c r="AW8" s="331">
        <v>-5.2413400000000001</v>
      </c>
      <c r="AX8" s="331">
        <v>4.74655</v>
      </c>
      <c r="AY8" s="331">
        <f t="shared" si="5"/>
        <v>-0.49479000000000006</v>
      </c>
      <c r="AZ8" s="20"/>
      <c r="BA8" s="20"/>
      <c r="BB8" s="20"/>
      <c r="BC8" s="20"/>
      <c r="BD8" s="221" t="e">
        <f>-SUMIF(#REF!,'pôles &amp; actions'!$C8,#REF!)/1000</f>
        <v>#REF!</v>
      </c>
      <c r="BE8" s="221" t="e">
        <f>SUMIF(#REF!,'pôles &amp; actions'!$C8,#REF!)/1000</f>
        <v>#REF!</v>
      </c>
      <c r="BF8" s="221" t="e">
        <f t="shared" si="7"/>
        <v>#REF!</v>
      </c>
      <c r="BG8" s="221" t="e">
        <f t="shared" si="3"/>
        <v>#REF!</v>
      </c>
      <c r="BK8" s="345">
        <v>-4.5</v>
      </c>
      <c r="BL8" s="345">
        <v>2.5</v>
      </c>
      <c r="BM8" s="345">
        <f t="shared" si="6"/>
        <v>-2</v>
      </c>
      <c r="BN8" s="225"/>
    </row>
    <row r="9" spans="1:66" ht="15" customHeight="1" outlineLevel="2" x14ac:dyDescent="0.25">
      <c r="A9" s="324">
        <v>5</v>
      </c>
      <c r="B9" s="385" t="s">
        <v>73</v>
      </c>
      <c r="C9" s="386" t="s">
        <v>460</v>
      </c>
      <c r="D9" s="37"/>
      <c r="E9" s="37"/>
      <c r="F9" s="37"/>
      <c r="G9" s="38"/>
      <c r="H9" s="39"/>
      <c r="I9" s="37">
        <v>-0.33</v>
      </c>
      <c r="J9" s="37">
        <v>0</v>
      </c>
      <c r="K9" s="37">
        <f t="shared" si="0"/>
        <v>-0.33</v>
      </c>
      <c r="L9" s="38"/>
      <c r="M9" s="38"/>
      <c r="N9" s="37" t="e">
        <f>-SUMIF(#REF!,$C9,#REF!)/1000</f>
        <v>#REF!</v>
      </c>
      <c r="O9" s="37" t="e">
        <f>SUMIF(#REF!,$C9,#REF!)/1000</f>
        <v>#REF!</v>
      </c>
      <c r="P9" s="37" t="e">
        <f>N9+O9</f>
        <v>#REF!</v>
      </c>
      <c r="Q9" s="39"/>
      <c r="R9" s="157">
        <v>-0.2</v>
      </c>
      <c r="S9" s="157"/>
      <c r="T9" s="157">
        <f>R9+S9</f>
        <v>-0.2</v>
      </c>
      <c r="U9" s="37"/>
      <c r="V9" s="407">
        <v>0</v>
      </c>
      <c r="W9" s="407">
        <v>0</v>
      </c>
      <c r="X9" s="407">
        <f t="shared" si="1"/>
        <v>0</v>
      </c>
      <c r="Y9" s="46"/>
      <c r="Z9" s="46"/>
      <c r="AA9" s="39"/>
      <c r="AB9" s="248"/>
      <c r="AC9" s="248"/>
      <c r="AD9" s="248">
        <f>AB9+AC9</f>
        <v>0</v>
      </c>
      <c r="AE9" s="193"/>
      <c r="AF9" s="199"/>
      <c r="AG9" s="194"/>
      <c r="AH9" s="195"/>
      <c r="AI9" s="163">
        <v>0</v>
      </c>
      <c r="AJ9" s="163">
        <v>0</v>
      </c>
      <c r="AK9" s="163">
        <v>0</v>
      </c>
      <c r="AL9" s="163"/>
      <c r="AM9" s="20"/>
      <c r="AN9" s="20"/>
      <c r="AO9" s="20"/>
      <c r="AP9" s="339">
        <v>-0.3</v>
      </c>
      <c r="AQ9" s="339">
        <v>0.3</v>
      </c>
      <c r="AR9" s="339">
        <f t="shared" si="4"/>
        <v>0</v>
      </c>
      <c r="AS9" s="225"/>
      <c r="AT9" s="263"/>
      <c r="AU9" s="20"/>
      <c r="AV9" s="20"/>
      <c r="AW9" s="331">
        <v>0</v>
      </c>
      <c r="AX9" s="331">
        <v>0</v>
      </c>
      <c r="AY9" s="331">
        <f t="shared" si="5"/>
        <v>0</v>
      </c>
      <c r="AZ9" s="20"/>
      <c r="BA9" s="20"/>
      <c r="BB9" s="20"/>
      <c r="BC9" s="20"/>
      <c r="BD9" s="221" t="e">
        <f>-SUMIF(#REF!,'pôles &amp; actions'!$C9,#REF!)/1000</f>
        <v>#REF!</v>
      </c>
      <c r="BE9" s="221" t="e">
        <f>SUMIF(#REF!,'pôles &amp; actions'!$C9,#REF!)/1000</f>
        <v>#REF!</v>
      </c>
      <c r="BF9" s="221" t="e">
        <f t="shared" si="7"/>
        <v>#REF!</v>
      </c>
      <c r="BG9" s="221" t="e">
        <f t="shared" si="3"/>
        <v>#REF!</v>
      </c>
      <c r="BK9" s="345">
        <v>-0.3</v>
      </c>
      <c r="BL9" s="345">
        <v>0.3</v>
      </c>
      <c r="BM9" s="345">
        <f t="shared" si="6"/>
        <v>0</v>
      </c>
      <c r="BN9" s="225"/>
    </row>
    <row r="10" spans="1:66" ht="15" customHeight="1" outlineLevel="1" x14ac:dyDescent="0.25">
      <c r="A10" s="324">
        <v>6</v>
      </c>
      <c r="B10" s="392" t="s">
        <v>46</v>
      </c>
      <c r="C10" s="393"/>
      <c r="D10" s="41">
        <f>SUM(D5:D8)</f>
        <v>-5.85</v>
      </c>
      <c r="E10" s="41">
        <f>SUM(E5:E8)</f>
        <v>2</v>
      </c>
      <c r="F10" s="41">
        <f>SUM(D10:E10)</f>
        <v>-3.8499999999999996</v>
      </c>
      <c r="G10" s="38"/>
      <c r="H10" s="39"/>
      <c r="I10" s="41">
        <f>SUM(I5:I9)</f>
        <v>-5.23</v>
      </c>
      <c r="J10" s="41">
        <f>SUM(J5:J9)</f>
        <v>2.7</v>
      </c>
      <c r="K10" s="41">
        <f t="shared" si="0"/>
        <v>-2.5300000000000002</v>
      </c>
      <c r="L10" s="38"/>
      <c r="M10" s="38"/>
      <c r="N10" s="41" t="e">
        <f>SUM(N5:N9)</f>
        <v>#REF!</v>
      </c>
      <c r="O10" s="41" t="e">
        <f>SUM(O5:O9)</f>
        <v>#REF!</v>
      </c>
      <c r="P10" s="41" t="e">
        <f>SUM(P5:P9)</f>
        <v>#REF!</v>
      </c>
      <c r="Q10" s="39"/>
      <c r="R10" s="158">
        <f>SUM(R5:R9)</f>
        <v>-6.5</v>
      </c>
      <c r="S10" s="158">
        <f>SUM(S5:S9)</f>
        <v>4</v>
      </c>
      <c r="T10" s="158">
        <f>SUM(T5:T9)</f>
        <v>-2.5</v>
      </c>
      <c r="U10" s="41"/>
      <c r="V10" s="408">
        <f>SUM(V5:V9)</f>
        <v>-0.39656999999999998</v>
      </c>
      <c r="W10" s="408">
        <f>SUM(W5:W9)</f>
        <v>0.29457</v>
      </c>
      <c r="X10" s="408">
        <f t="shared" si="1"/>
        <v>-0.10199999999999998</v>
      </c>
      <c r="Y10" s="80"/>
      <c r="Z10" s="80">
        <f>SUM(Z5:Z9)</f>
        <v>0</v>
      </c>
      <c r="AA10" s="39"/>
      <c r="AB10" s="249">
        <f>SUM(AB5:AB9)</f>
        <v>-2.4500000000000002</v>
      </c>
      <c r="AC10" s="249">
        <f>SUM(AC5:AC9)</f>
        <v>1.65</v>
      </c>
      <c r="AD10" s="249">
        <f>SUM(AD5:AD9)</f>
        <v>-0.8</v>
      </c>
      <c r="AE10" s="41"/>
      <c r="AF10" s="80"/>
      <c r="AG10" s="194"/>
      <c r="AH10" s="195"/>
      <c r="AI10" s="285">
        <f>SUM(AI5:AI9)</f>
        <v>-5.6098999999999997</v>
      </c>
      <c r="AJ10" s="285">
        <f>SUM(AJ5:AJ9)</f>
        <v>4.76844</v>
      </c>
      <c r="AK10" s="285">
        <f>AI10+AJ10</f>
        <v>-0.84145999999999965</v>
      </c>
      <c r="AL10" s="285"/>
      <c r="AM10" s="20"/>
      <c r="AN10" s="20"/>
      <c r="AO10" s="20"/>
      <c r="AP10" s="418">
        <f>SUM(AP5:AP9)</f>
        <v>-5.8999999999999995</v>
      </c>
      <c r="AQ10" s="418">
        <f>SUM(AQ5:AQ9)</f>
        <v>3.8499999999999996</v>
      </c>
      <c r="AR10" s="418">
        <f t="shared" si="4"/>
        <v>-2.0499999999999998</v>
      </c>
      <c r="AS10" s="225"/>
      <c r="AT10" s="20"/>
      <c r="AW10" s="430">
        <f>SUM(AW5:AW9)</f>
        <v>-5.7102900000000005</v>
      </c>
      <c r="AX10" s="430">
        <f>SUM(AX5:AX9)</f>
        <v>5.1668900000000004</v>
      </c>
      <c r="AY10" s="430">
        <f t="shared" si="5"/>
        <v>-0.54340000000000011</v>
      </c>
      <c r="BC10" s="20"/>
      <c r="BD10" s="227" t="e">
        <f>SUM(BD5:BD9)</f>
        <v>#REF!</v>
      </c>
      <c r="BE10" s="227" t="e">
        <f>SUM(BE5:BE9)</f>
        <v>#REF!</v>
      </c>
      <c r="BF10" s="227" t="e">
        <f>SUM(BF5:BF9)</f>
        <v>#REF!</v>
      </c>
      <c r="BG10" s="221" t="e">
        <f t="shared" si="3"/>
        <v>#REF!</v>
      </c>
      <c r="BK10" s="436">
        <f>SUM(BK5:BK9)</f>
        <v>-4.8999999999999995</v>
      </c>
      <c r="BL10" s="436">
        <f>SUM(BL5:BL9)</f>
        <v>2.8499999999999996</v>
      </c>
      <c r="BM10" s="436">
        <f t="shared" si="6"/>
        <v>-2.0499999999999998</v>
      </c>
      <c r="BN10" s="225"/>
    </row>
    <row r="11" spans="1:66" ht="15" customHeight="1" outlineLevel="2" x14ac:dyDescent="0.25">
      <c r="A11" s="324">
        <v>7</v>
      </c>
      <c r="B11" s="385" t="s">
        <v>47</v>
      </c>
      <c r="C11" s="386" t="s">
        <v>48</v>
      </c>
      <c r="D11" s="37">
        <v>-16.5</v>
      </c>
      <c r="E11" s="37">
        <v>15</v>
      </c>
      <c r="F11" s="37">
        <f t="shared" ref="F11:F23" si="8">SUM(D11:E11)</f>
        <v>-1.5</v>
      </c>
      <c r="G11" s="38"/>
      <c r="H11" s="39"/>
      <c r="I11" s="37">
        <v>-1.1299999999999999</v>
      </c>
      <c r="J11" s="37">
        <v>0</v>
      </c>
      <c r="K11" s="37">
        <f t="shared" si="0"/>
        <v>-1.1299999999999999</v>
      </c>
      <c r="L11" s="38"/>
      <c r="M11" s="38"/>
      <c r="N11" s="37" t="e">
        <f>-SUMIF(#REF!,$C11,#REF!)/1000</f>
        <v>#REF!</v>
      </c>
      <c r="O11" s="37" t="e">
        <f>SUMIF(#REF!,$C11,#REF!)/1000</f>
        <v>#REF!</v>
      </c>
      <c r="P11" s="37" t="e">
        <f t="shared" ref="P11:P21" si="9">N11+O11</f>
        <v>#REF!</v>
      </c>
      <c r="Q11" s="39"/>
      <c r="R11" s="157">
        <v>-3.4</v>
      </c>
      <c r="S11" s="157">
        <v>0</v>
      </c>
      <c r="T11" s="157">
        <f t="shared" ref="T11:T21" si="10">R11+S11</f>
        <v>-3.4</v>
      </c>
      <c r="U11" s="37"/>
      <c r="V11" s="407">
        <v>-1.4296199999999999</v>
      </c>
      <c r="W11" s="407">
        <v>0.35061999999999999</v>
      </c>
      <c r="X11" s="407">
        <f t="shared" si="1"/>
        <v>-1.079</v>
      </c>
      <c r="Y11" s="46"/>
      <c r="Z11" s="46"/>
      <c r="AA11" s="39"/>
      <c r="AB11" s="248">
        <v>-3.8</v>
      </c>
      <c r="AC11" s="248"/>
      <c r="AD11" s="248">
        <f t="shared" ref="AD11:AD21" si="11">AB11+AC11</f>
        <v>-3.8</v>
      </c>
      <c r="AE11" s="193"/>
      <c r="AF11" s="199"/>
      <c r="AG11" s="194"/>
      <c r="AH11" s="195"/>
      <c r="AI11" s="163">
        <v>-2.6678000000000002</v>
      </c>
      <c r="AJ11" s="163">
        <v>0</v>
      </c>
      <c r="AK11" s="163">
        <v>-2.6678000000000002</v>
      </c>
      <c r="AL11" s="163"/>
      <c r="AM11" s="20"/>
      <c r="AN11" s="20"/>
      <c r="AO11" s="20"/>
      <c r="AP11" s="339">
        <v>-5.2</v>
      </c>
      <c r="AQ11" s="339"/>
      <c r="AR11" s="339">
        <f t="shared" si="4"/>
        <v>-5.2</v>
      </c>
      <c r="AS11" s="225"/>
      <c r="AT11" s="273">
        <v>5</v>
      </c>
      <c r="AU11" s="271" t="s">
        <v>477</v>
      </c>
      <c r="AV11" s="307"/>
      <c r="AW11" s="331">
        <v>-4.2279399999999994</v>
      </c>
      <c r="AX11" s="331">
        <v>0.60650999999999999</v>
      </c>
      <c r="AY11" s="331">
        <f t="shared" si="5"/>
        <v>-3.6214299999999993</v>
      </c>
      <c r="AZ11" s="307"/>
      <c r="BA11" s="307"/>
      <c r="BB11" s="307"/>
      <c r="BC11" s="20"/>
      <c r="BD11" s="221" t="e">
        <f>-SUMIF(#REF!,'pôles &amp; actions'!$C11,#REF!)/1000</f>
        <v>#REF!</v>
      </c>
      <c r="BE11" s="221" t="e">
        <f>SUMIF(#REF!,'pôles &amp; actions'!$C11,#REF!)/1000</f>
        <v>#REF!</v>
      </c>
      <c r="BF11" s="221" t="e">
        <f t="shared" si="7"/>
        <v>#REF!</v>
      </c>
      <c r="BG11" s="221" t="e">
        <f t="shared" si="3"/>
        <v>#REF!</v>
      </c>
      <c r="BK11" s="345">
        <v>-5.2</v>
      </c>
      <c r="BL11" s="345">
        <v>0</v>
      </c>
      <c r="BM11" s="345">
        <f t="shared" si="6"/>
        <v>-5.2</v>
      </c>
      <c r="BN11" s="225"/>
    </row>
    <row r="12" spans="1:66" ht="15" customHeight="1" outlineLevel="2" x14ac:dyDescent="0.25">
      <c r="A12" s="324">
        <v>8</v>
      </c>
      <c r="B12" s="385" t="s">
        <v>49</v>
      </c>
      <c r="C12" s="386" t="s">
        <v>50</v>
      </c>
      <c r="D12" s="37">
        <v>-26.475000000000001</v>
      </c>
      <c r="E12" s="37">
        <v>29.074999999999999</v>
      </c>
      <c r="F12" s="37">
        <f t="shared" si="8"/>
        <v>2.5999999999999979</v>
      </c>
      <c r="G12" s="38"/>
      <c r="H12" s="39"/>
      <c r="I12" s="37">
        <v>-36.97</v>
      </c>
      <c r="J12" s="37">
        <v>49.5</v>
      </c>
      <c r="K12" s="37">
        <f t="shared" si="0"/>
        <v>12.530000000000001</v>
      </c>
      <c r="L12" s="38"/>
      <c r="M12" s="38"/>
      <c r="N12" s="37" t="e">
        <f>-SUMIF(#REF!,$C12,#REF!)/1000</f>
        <v>#REF!</v>
      </c>
      <c r="O12" s="37" t="e">
        <f>SUMIF(#REF!,$C12,#REF!)/1000</f>
        <v>#REF!</v>
      </c>
      <c r="P12" s="37" t="e">
        <f t="shared" si="9"/>
        <v>#REF!</v>
      </c>
      <c r="Q12" s="39"/>
      <c r="R12" s="157">
        <v>-45.3</v>
      </c>
      <c r="S12" s="157">
        <v>51.06</v>
      </c>
      <c r="T12" s="157">
        <f t="shared" si="10"/>
        <v>5.7600000000000051</v>
      </c>
      <c r="U12" s="37"/>
      <c r="V12" s="407">
        <v>-6.0984499999999997</v>
      </c>
      <c r="W12" s="407">
        <v>7.6277499999999998</v>
      </c>
      <c r="X12" s="407">
        <f t="shared" si="1"/>
        <v>1.5293000000000001</v>
      </c>
      <c r="Y12" s="46"/>
      <c r="Z12" s="46"/>
      <c r="AA12" s="39"/>
      <c r="AB12" s="248">
        <f>-65.69+10.88</f>
        <v>-54.809999999999995</v>
      </c>
      <c r="AC12" s="248">
        <f>68.73-13.92</f>
        <v>54.81</v>
      </c>
      <c r="AD12" s="248">
        <f t="shared" si="11"/>
        <v>0</v>
      </c>
      <c r="AE12" s="193"/>
      <c r="AF12" s="199"/>
      <c r="AG12" s="194" t="s">
        <v>395</v>
      </c>
      <c r="AH12" s="195"/>
      <c r="AI12" s="163">
        <v>-46.323159999999994</v>
      </c>
      <c r="AJ12" s="163">
        <v>58.470410000000001</v>
      </c>
      <c r="AK12" s="163">
        <v>12.147250000000007</v>
      </c>
      <c r="AL12" s="163"/>
      <c r="AM12" s="20"/>
      <c r="AN12" s="20"/>
      <c r="AO12" s="20"/>
      <c r="AP12" s="339">
        <v>-48.62</v>
      </c>
      <c r="AQ12" s="339">
        <v>51.66</v>
      </c>
      <c r="AR12" s="339">
        <f t="shared" si="4"/>
        <v>3.0399999999999991</v>
      </c>
      <c r="AS12" s="225"/>
      <c r="AT12" s="273">
        <v>48.62</v>
      </c>
      <c r="AU12" s="20" t="s">
        <v>479</v>
      </c>
      <c r="AV12" s="20"/>
      <c r="AW12" s="331">
        <v>-37.053519999999999</v>
      </c>
      <c r="AX12" s="331">
        <v>51.815460000000002</v>
      </c>
      <c r="AY12" s="331">
        <f t="shared" si="5"/>
        <v>14.761940000000003</v>
      </c>
      <c r="AZ12" s="20"/>
      <c r="BA12" s="20"/>
      <c r="BB12" s="20"/>
      <c r="BC12" s="20"/>
      <c r="BD12" s="221" t="e">
        <f>-SUMIF(#REF!,'pôles &amp; actions'!$C12,#REF!)/1000</f>
        <v>#REF!</v>
      </c>
      <c r="BE12" s="221" t="e">
        <f>SUMIF(#REF!,'pôles &amp; actions'!$C12,#REF!)/1000</f>
        <v>#REF!</v>
      </c>
      <c r="BF12" s="221" t="e">
        <f t="shared" si="7"/>
        <v>#REF!</v>
      </c>
      <c r="BG12" s="221" t="e">
        <f t="shared" si="3"/>
        <v>#REF!</v>
      </c>
      <c r="BK12" s="345">
        <f xml:space="preserve"> -38.18-0.3</f>
        <v>-38.479999999999997</v>
      </c>
      <c r="BL12" s="345">
        <v>37.18</v>
      </c>
      <c r="BM12" s="345">
        <f t="shared" si="6"/>
        <v>-1.2999999999999972</v>
      </c>
      <c r="BN12" s="225"/>
    </row>
    <row r="13" spans="1:66" ht="15" customHeight="1" outlineLevel="2" x14ac:dyDescent="0.25">
      <c r="A13" s="324">
        <v>9</v>
      </c>
      <c r="B13" s="385" t="s">
        <v>39</v>
      </c>
      <c r="C13" s="386" t="s">
        <v>51</v>
      </c>
      <c r="D13" s="37">
        <v>-20.9</v>
      </c>
      <c r="E13" s="37">
        <v>0</v>
      </c>
      <c r="F13" s="37">
        <f t="shared" si="8"/>
        <v>-20.9</v>
      </c>
      <c r="G13" s="38"/>
      <c r="H13" s="39"/>
      <c r="I13" s="37">
        <v>-14.74</v>
      </c>
      <c r="J13" s="37">
        <v>9.4</v>
      </c>
      <c r="K13" s="37">
        <f t="shared" si="0"/>
        <v>-5.34</v>
      </c>
      <c r="L13" s="38"/>
      <c r="M13" s="38"/>
      <c r="N13" s="37" t="e">
        <f>-SUMIF(#REF!,$C13,#REF!)/1000</f>
        <v>#REF!</v>
      </c>
      <c r="O13" s="37" t="e">
        <f>SUMIF(#REF!,$C13,#REF!)/1000</f>
        <v>#REF!</v>
      </c>
      <c r="P13" s="37" t="e">
        <f t="shared" si="9"/>
        <v>#REF!</v>
      </c>
      <c r="Q13" s="39"/>
      <c r="R13" s="157">
        <v>-14.7</v>
      </c>
      <c r="S13" s="157">
        <v>0</v>
      </c>
      <c r="T13" s="157">
        <f t="shared" si="10"/>
        <v>-14.7</v>
      </c>
      <c r="U13" s="37"/>
      <c r="V13" s="407">
        <v>-16.56362</v>
      </c>
      <c r="W13" s="407">
        <v>1.07501</v>
      </c>
      <c r="X13" s="407">
        <f t="shared" ref="X13:X21" si="12">SUM(V13:W13)</f>
        <v>-15.48861</v>
      </c>
      <c r="Y13" s="46"/>
      <c r="Z13" s="46"/>
      <c r="AA13" s="39"/>
      <c r="AB13" s="248">
        <v>-11</v>
      </c>
      <c r="AC13" s="248"/>
      <c r="AD13" s="248">
        <f t="shared" si="11"/>
        <v>-11</v>
      </c>
      <c r="AE13" s="193"/>
      <c r="AF13" s="199"/>
      <c r="AG13" s="194"/>
      <c r="AH13" s="195"/>
      <c r="AI13" s="163">
        <v>-17.680919999999993</v>
      </c>
      <c r="AJ13" s="163">
        <v>6.4517299999999995</v>
      </c>
      <c r="AK13" s="163">
        <v>-11.229189999999994</v>
      </c>
      <c r="AL13" s="163"/>
      <c r="AM13" s="20"/>
      <c r="AN13" s="20"/>
      <c r="AO13" s="20"/>
      <c r="AP13" s="339">
        <v>-11.5</v>
      </c>
      <c r="AQ13" s="339">
        <v>11</v>
      </c>
      <c r="AR13" s="339">
        <f t="shared" si="4"/>
        <v>-0.5</v>
      </c>
      <c r="AS13" s="225"/>
      <c r="AT13" s="20"/>
      <c r="AU13" s="20" t="s">
        <v>480</v>
      </c>
      <c r="AV13" s="20"/>
      <c r="AW13" s="331">
        <v>-11.37898</v>
      </c>
      <c r="AX13" s="331">
        <v>0.48</v>
      </c>
      <c r="AY13" s="331">
        <f t="shared" si="5"/>
        <v>-10.89898</v>
      </c>
      <c r="AZ13" s="20"/>
      <c r="BA13" s="20"/>
      <c r="BB13" s="20"/>
      <c r="BC13" s="20"/>
      <c r="BD13" s="221" t="e">
        <f>-SUMIF(#REF!,'pôles &amp; actions'!$C13,#REF!)/1000</f>
        <v>#REF!</v>
      </c>
      <c r="BE13" s="221" t="e">
        <f>SUMIF(#REF!,'pôles &amp; actions'!$C13,#REF!)/1000</f>
        <v>#REF!</v>
      </c>
      <c r="BF13" s="221" t="e">
        <f t="shared" si="7"/>
        <v>#REF!</v>
      </c>
      <c r="BG13" s="221" t="e">
        <f t="shared" si="3"/>
        <v>#REF!</v>
      </c>
      <c r="BK13" s="345">
        <v>-12</v>
      </c>
      <c r="BL13" s="345">
        <v>23</v>
      </c>
      <c r="BM13" s="345">
        <f t="shared" si="6"/>
        <v>11</v>
      </c>
      <c r="BN13" s="225"/>
    </row>
    <row r="14" spans="1:66" ht="15" customHeight="1" outlineLevel="2" x14ac:dyDescent="0.25">
      <c r="A14" s="324">
        <v>10</v>
      </c>
      <c r="B14" s="385" t="s">
        <v>43</v>
      </c>
      <c r="C14" s="386" t="s">
        <v>52</v>
      </c>
      <c r="D14" s="37">
        <v>-8.5</v>
      </c>
      <c r="E14" s="37">
        <v>0</v>
      </c>
      <c r="F14" s="37">
        <f t="shared" si="8"/>
        <v>-8.5</v>
      </c>
      <c r="G14" s="38"/>
      <c r="H14" s="39"/>
      <c r="I14" s="37">
        <v>-12.15</v>
      </c>
      <c r="J14" s="37">
        <v>1.9</v>
      </c>
      <c r="K14" s="37">
        <f t="shared" si="0"/>
        <v>-10.25</v>
      </c>
      <c r="L14" s="38"/>
      <c r="M14" s="38"/>
      <c r="N14" s="37" t="e">
        <f>-SUMIF(#REF!,$C14,#REF!)/1000</f>
        <v>#REF!</v>
      </c>
      <c r="O14" s="37" t="e">
        <f>SUMIF(#REF!,$C14,#REF!)/1000</f>
        <v>#REF!</v>
      </c>
      <c r="P14" s="37" t="e">
        <f t="shared" si="9"/>
        <v>#REF!</v>
      </c>
      <c r="Q14" s="39"/>
      <c r="R14" s="157">
        <v>-8.5</v>
      </c>
      <c r="S14" s="157">
        <v>0</v>
      </c>
      <c r="T14" s="157">
        <f t="shared" si="10"/>
        <v>-8.5</v>
      </c>
      <c r="U14" s="37"/>
      <c r="V14" s="407">
        <v>-6.0617700000000001</v>
      </c>
      <c r="W14" s="407">
        <v>0.47887000000000002</v>
      </c>
      <c r="X14" s="407">
        <f t="shared" si="12"/>
        <v>-5.5829000000000004</v>
      </c>
      <c r="Y14" s="46"/>
      <c r="Z14" s="46"/>
      <c r="AA14" s="39"/>
      <c r="AB14" s="248">
        <f>-9+0.4+3</f>
        <v>-5.6</v>
      </c>
      <c r="AC14" s="248"/>
      <c r="AD14" s="248">
        <f t="shared" si="11"/>
        <v>-5.6</v>
      </c>
      <c r="AE14" s="193"/>
      <c r="AF14" s="218"/>
      <c r="AG14" s="228" t="s">
        <v>396</v>
      </c>
      <c r="AH14" s="228"/>
      <c r="AI14" s="163">
        <v>-4.2057099999999998</v>
      </c>
      <c r="AJ14" s="163">
        <v>0.30381999999999998</v>
      </c>
      <c r="AK14" s="163">
        <v>-3.9018899999999999</v>
      </c>
      <c r="AL14" s="163"/>
      <c r="AM14" s="20"/>
      <c r="AN14" s="20"/>
      <c r="AO14" s="20"/>
      <c r="AP14" s="339">
        <v>-12</v>
      </c>
      <c r="AQ14" s="339"/>
      <c r="AR14" s="339">
        <f t="shared" si="4"/>
        <v>-12</v>
      </c>
      <c r="AS14" s="225"/>
      <c r="AT14" s="20"/>
      <c r="AU14" s="20" t="s">
        <v>481</v>
      </c>
      <c r="AV14" s="20"/>
      <c r="AW14" s="331">
        <v>-8.3985399999999988</v>
      </c>
      <c r="AX14" s="331">
        <v>0.39030000000000004</v>
      </c>
      <c r="AY14" s="331">
        <f t="shared" si="5"/>
        <v>-8.0082399999999989</v>
      </c>
      <c r="AZ14" s="20"/>
      <c r="BA14" s="20"/>
      <c r="BB14" s="20"/>
      <c r="BC14" s="20"/>
      <c r="BD14" s="221" t="e">
        <f>-SUMIF(#REF!,'pôles &amp; actions'!$C14,#REF!)/1000</f>
        <v>#REF!</v>
      </c>
      <c r="BE14" s="221" t="e">
        <f>SUMIF(#REF!,'pôles &amp; actions'!$C14,#REF!)/1000</f>
        <v>#REF!</v>
      </c>
      <c r="BF14" s="221" t="e">
        <f t="shared" si="7"/>
        <v>#REF!</v>
      </c>
      <c r="BG14" s="221" t="e">
        <f t="shared" si="3"/>
        <v>#REF!</v>
      </c>
      <c r="BK14" s="345">
        <v>-9</v>
      </c>
      <c r="BL14" s="349">
        <v>0</v>
      </c>
      <c r="BM14" s="345">
        <f t="shared" si="6"/>
        <v>-9</v>
      </c>
      <c r="BN14" s="225"/>
    </row>
    <row r="15" spans="1:66" ht="15" customHeight="1" outlineLevel="2" x14ac:dyDescent="0.25">
      <c r="A15" s="324">
        <v>11</v>
      </c>
      <c r="B15" s="385" t="s">
        <v>41</v>
      </c>
      <c r="C15" s="386" t="s">
        <v>53</v>
      </c>
      <c r="D15" s="37">
        <v>-10</v>
      </c>
      <c r="E15" s="37">
        <v>10</v>
      </c>
      <c r="F15" s="37">
        <f t="shared" si="8"/>
        <v>0</v>
      </c>
      <c r="G15" s="38"/>
      <c r="H15" s="39"/>
      <c r="I15" s="37">
        <v>-5.44</v>
      </c>
      <c r="J15" s="37">
        <v>5.4</v>
      </c>
      <c r="K15" s="37">
        <f t="shared" si="0"/>
        <v>-4.0000000000000036E-2</v>
      </c>
      <c r="L15" s="38"/>
      <c r="M15" s="38"/>
      <c r="N15" s="37" t="e">
        <f>-SUMIF(#REF!,$C15,#REF!)/1000</f>
        <v>#REF!</v>
      </c>
      <c r="O15" s="37" t="e">
        <f>SUMIF(#REF!,$C15,#REF!)/1000</f>
        <v>#REF!</v>
      </c>
      <c r="P15" s="37" t="e">
        <f t="shared" si="9"/>
        <v>#REF!</v>
      </c>
      <c r="Q15" s="39"/>
      <c r="R15" s="157">
        <v>-6</v>
      </c>
      <c r="S15" s="157">
        <v>0</v>
      </c>
      <c r="T15" s="157">
        <f t="shared" si="10"/>
        <v>-6</v>
      </c>
      <c r="U15" s="37"/>
      <c r="V15" s="407">
        <v>-13.201610000000001</v>
      </c>
      <c r="W15" s="407">
        <v>0.45600000000000002</v>
      </c>
      <c r="X15" s="407">
        <f t="shared" si="12"/>
        <v>-12.745610000000001</v>
      </c>
      <c r="Y15" s="46"/>
      <c r="Z15" s="46"/>
      <c r="AA15" s="39"/>
      <c r="AB15" s="248">
        <v>-6</v>
      </c>
      <c r="AC15" s="248"/>
      <c r="AD15" s="248">
        <f t="shared" si="11"/>
        <v>-6</v>
      </c>
      <c r="AE15" s="193"/>
      <c r="AF15" s="199"/>
      <c r="AG15" s="194"/>
      <c r="AH15" s="195"/>
      <c r="AI15" s="163">
        <v>-11.913570000000002</v>
      </c>
      <c r="AJ15" s="163">
        <v>0</v>
      </c>
      <c r="AK15" s="163">
        <v>-11.913570000000002</v>
      </c>
      <c r="AL15" s="163"/>
      <c r="AM15" s="20"/>
      <c r="AN15" s="20"/>
      <c r="AO15" s="20"/>
      <c r="AP15" s="339">
        <v>-11</v>
      </c>
      <c r="AQ15" s="339">
        <v>8</v>
      </c>
      <c r="AR15" s="339">
        <f t="shared" si="4"/>
        <v>-3</v>
      </c>
      <c r="AS15" s="225"/>
      <c r="AT15" s="20"/>
      <c r="AU15" s="20" t="s">
        <v>549</v>
      </c>
      <c r="AV15" s="20"/>
      <c r="AW15" s="331">
        <v>-11.849059999999998</v>
      </c>
      <c r="AX15" s="331">
        <v>0</v>
      </c>
      <c r="AY15" s="331">
        <f t="shared" si="5"/>
        <v>-11.849059999999998</v>
      </c>
      <c r="AZ15" s="20"/>
      <c r="BA15" s="20"/>
      <c r="BB15" s="20"/>
      <c r="BC15" s="20"/>
      <c r="BD15" s="221" t="e">
        <f>-SUMIF(#REF!,'pôles &amp; actions'!$C15,#REF!)/1000</f>
        <v>#REF!</v>
      </c>
      <c r="BE15" s="221" t="e">
        <f>SUMIF(#REF!,'pôles &amp; actions'!$C15,#REF!)/1000</f>
        <v>#REF!</v>
      </c>
      <c r="BF15" s="221" t="e">
        <f t="shared" si="7"/>
        <v>#REF!</v>
      </c>
      <c r="BG15" s="221" t="e">
        <f t="shared" si="3"/>
        <v>#REF!</v>
      </c>
      <c r="BK15" s="345">
        <v>-18</v>
      </c>
      <c r="BL15" s="345">
        <v>0</v>
      </c>
      <c r="BM15" s="345">
        <f t="shared" si="6"/>
        <v>-18</v>
      </c>
      <c r="BN15" s="225"/>
    </row>
    <row r="16" spans="1:66" ht="15" hidden="1" customHeight="1" outlineLevel="3" x14ac:dyDescent="0.25">
      <c r="A16" s="324">
        <v>11</v>
      </c>
      <c r="B16" s="394" t="s">
        <v>54</v>
      </c>
      <c r="C16" s="395" t="s">
        <v>55</v>
      </c>
      <c r="D16" s="37">
        <v>0</v>
      </c>
      <c r="E16" s="37">
        <v>0</v>
      </c>
      <c r="F16" s="37">
        <f t="shared" si="8"/>
        <v>0</v>
      </c>
      <c r="G16" s="38"/>
      <c r="H16" s="39"/>
      <c r="I16" s="37">
        <v>-33.979999999999997</v>
      </c>
      <c r="J16" s="37">
        <v>42.4</v>
      </c>
      <c r="K16" s="37">
        <f t="shared" si="0"/>
        <v>8.4200000000000017</v>
      </c>
      <c r="L16" s="38"/>
      <c r="M16" s="38"/>
      <c r="N16" s="37" t="e">
        <f>-SUMIF(#REF!,$C16,#REF!)/1000</f>
        <v>#REF!</v>
      </c>
      <c r="O16" s="37" t="e">
        <f>SUMIF(#REF!,$C16,#REF!)/1000</f>
        <v>#REF!</v>
      </c>
      <c r="P16" s="37" t="e">
        <f t="shared" si="9"/>
        <v>#REF!</v>
      </c>
      <c r="Q16" s="39"/>
      <c r="R16" s="157">
        <v>-42.5</v>
      </c>
      <c r="S16" s="157">
        <v>22.5</v>
      </c>
      <c r="T16" s="157">
        <f t="shared" si="10"/>
        <v>-20</v>
      </c>
      <c r="U16" s="37"/>
      <c r="V16" s="407">
        <v>0</v>
      </c>
      <c r="W16" s="407">
        <v>0</v>
      </c>
      <c r="X16" s="407">
        <f t="shared" si="12"/>
        <v>0</v>
      </c>
      <c r="Y16" s="46"/>
      <c r="Z16" s="46"/>
      <c r="AA16" s="39"/>
      <c r="AB16" s="248">
        <v>-22</v>
      </c>
      <c r="AC16" s="248">
        <v>28.2</v>
      </c>
      <c r="AD16" s="248">
        <f t="shared" si="11"/>
        <v>6.1999999999999993</v>
      </c>
      <c r="AE16" s="193"/>
      <c r="AF16" s="199"/>
      <c r="AG16" s="194"/>
      <c r="AH16" s="195"/>
      <c r="AI16" s="163">
        <v>0</v>
      </c>
      <c r="AJ16" s="163">
        <v>0</v>
      </c>
      <c r="AK16" s="163">
        <v>0</v>
      </c>
      <c r="AL16" s="163"/>
      <c r="AM16" s="20"/>
      <c r="AN16" s="20"/>
      <c r="AO16" s="20"/>
      <c r="AP16" s="339"/>
      <c r="AQ16" s="339"/>
      <c r="AR16" s="339">
        <f t="shared" si="4"/>
        <v>0</v>
      </c>
      <c r="AS16" s="225"/>
      <c r="AT16" s="20"/>
      <c r="AU16" s="20"/>
      <c r="AV16" s="20"/>
      <c r="AW16" s="331">
        <v>0</v>
      </c>
      <c r="AX16" s="331">
        <v>0</v>
      </c>
      <c r="AY16" s="331">
        <f t="shared" si="5"/>
        <v>0</v>
      </c>
      <c r="AZ16" s="20"/>
      <c r="BA16" s="20"/>
      <c r="BB16" s="20"/>
      <c r="BC16" s="20"/>
      <c r="BD16" s="221" t="e">
        <f>-SUMIF(#REF!,'pôles &amp; actions'!$C16,#REF!)/1000</f>
        <v>#REF!</v>
      </c>
      <c r="BE16" s="221" t="e">
        <f>SUMIF(#REF!,'pôles &amp; actions'!$C16,#REF!)/1000</f>
        <v>#REF!</v>
      </c>
      <c r="BF16" s="221" t="e">
        <f t="shared" si="7"/>
        <v>#REF!</v>
      </c>
      <c r="BG16" s="221" t="e">
        <f t="shared" si="3"/>
        <v>#REF!</v>
      </c>
      <c r="BK16" s="345"/>
      <c r="BL16" s="345"/>
      <c r="BM16" s="345">
        <f t="shared" si="6"/>
        <v>0</v>
      </c>
      <c r="BN16" s="225"/>
    </row>
    <row r="17" spans="1:66" ht="15" hidden="1" customHeight="1" outlineLevel="3" x14ac:dyDescent="0.25">
      <c r="A17" s="324">
        <v>11</v>
      </c>
      <c r="B17" s="394" t="s">
        <v>56</v>
      </c>
      <c r="C17" s="386"/>
      <c r="D17" s="36"/>
      <c r="E17" s="37"/>
      <c r="F17" s="37"/>
      <c r="G17" s="38"/>
      <c r="H17" s="39"/>
      <c r="I17" s="37"/>
      <c r="J17" s="37"/>
      <c r="K17" s="37"/>
      <c r="L17" s="38"/>
      <c r="M17" s="38"/>
      <c r="N17" s="37" t="e">
        <f>-SUMIF(#REF!,$C17,#REF!)/1000</f>
        <v>#REF!</v>
      </c>
      <c r="O17" s="37" t="e">
        <f>SUMIF(#REF!,$C17,#REF!)/1000</f>
        <v>#REF!</v>
      </c>
      <c r="P17" s="37" t="e">
        <f t="shared" si="9"/>
        <v>#REF!</v>
      </c>
      <c r="Q17" s="39"/>
      <c r="R17" s="157"/>
      <c r="S17" s="157"/>
      <c r="T17" s="157"/>
      <c r="U17" s="37"/>
      <c r="V17" s="407">
        <v>0</v>
      </c>
      <c r="W17" s="407">
        <v>0</v>
      </c>
      <c r="X17" s="407">
        <f t="shared" ref="X17" si="13">SUM(V17:W17)</f>
        <v>0</v>
      </c>
      <c r="Y17" s="46"/>
      <c r="Z17" s="46"/>
      <c r="AA17" s="39"/>
      <c r="AB17" s="248"/>
      <c r="AC17" s="248"/>
      <c r="AD17" s="248"/>
      <c r="AE17" s="193"/>
      <c r="AF17" s="199"/>
      <c r="AG17" s="194"/>
      <c r="AH17" s="195"/>
      <c r="AI17" s="163"/>
      <c r="AJ17" s="163"/>
      <c r="AK17" s="163"/>
      <c r="AL17" s="163"/>
      <c r="AM17" s="20"/>
      <c r="AN17" s="20"/>
      <c r="AO17" s="20"/>
      <c r="AP17" s="339"/>
      <c r="AQ17" s="339"/>
      <c r="AR17" s="339">
        <f t="shared" si="4"/>
        <v>0</v>
      </c>
      <c r="AS17" s="225"/>
      <c r="AT17" s="20"/>
      <c r="AU17" s="20"/>
      <c r="AV17" s="20"/>
      <c r="AW17" s="331">
        <v>0</v>
      </c>
      <c r="AX17" s="331">
        <v>0</v>
      </c>
      <c r="AY17" s="331">
        <f t="shared" si="5"/>
        <v>0</v>
      </c>
      <c r="AZ17" s="20"/>
      <c r="BA17" s="20"/>
      <c r="BB17" s="20"/>
      <c r="BC17" s="20"/>
      <c r="BD17" s="221" t="e">
        <f>-SUMIF(#REF!,'pôles &amp; actions'!$C17,#REF!)/1000</f>
        <v>#REF!</v>
      </c>
      <c r="BE17" s="221" t="e">
        <f>SUMIF(#REF!,'pôles &amp; actions'!$C17,#REF!)/1000</f>
        <v>#REF!</v>
      </c>
      <c r="BF17" s="221" t="e">
        <f t="shared" si="7"/>
        <v>#REF!</v>
      </c>
      <c r="BG17" s="221" t="e">
        <f t="shared" si="3"/>
        <v>#REF!</v>
      </c>
      <c r="BK17" s="345"/>
      <c r="BL17" s="345"/>
      <c r="BM17" s="345">
        <f t="shared" si="6"/>
        <v>0</v>
      </c>
      <c r="BN17" s="225"/>
    </row>
    <row r="18" spans="1:66" ht="15" customHeight="1" outlineLevel="2" collapsed="1" x14ac:dyDescent="0.25">
      <c r="A18" s="324">
        <v>12</v>
      </c>
      <c r="B18" s="385" t="s">
        <v>54</v>
      </c>
      <c r="C18" s="386" t="s">
        <v>389</v>
      </c>
      <c r="D18" s="37">
        <f>+SUM(D16:D17)</f>
        <v>0</v>
      </c>
      <c r="E18" s="37">
        <f>+SUM(E16:E17)</f>
        <v>0</v>
      </c>
      <c r="F18" s="37">
        <f>+SUM(F16:F17)</f>
        <v>0</v>
      </c>
      <c r="G18" s="38"/>
      <c r="H18" s="39"/>
      <c r="I18" s="37">
        <f>+SUM(I16:I17)</f>
        <v>-33.979999999999997</v>
      </c>
      <c r="J18" s="37">
        <f>+SUM(J16:J17)</f>
        <v>42.4</v>
      </c>
      <c r="K18" s="37">
        <f>+SUM(K16:K17)</f>
        <v>8.4200000000000017</v>
      </c>
      <c r="L18" s="38"/>
      <c r="M18" s="38"/>
      <c r="N18" s="37" t="e">
        <f>+SUM(N16:N17)</f>
        <v>#REF!</v>
      </c>
      <c r="O18" s="37" t="e">
        <f>+SUM(O16:O17)</f>
        <v>#REF!</v>
      </c>
      <c r="P18" s="37" t="e">
        <f>+SUM(P16:P17)</f>
        <v>#REF!</v>
      </c>
      <c r="Q18" s="39"/>
      <c r="R18" s="157">
        <f>+SUM(R16:R17)</f>
        <v>-42.5</v>
      </c>
      <c r="S18" s="157">
        <f>+SUM(S16:S17)</f>
        <v>22.5</v>
      </c>
      <c r="T18" s="157">
        <f>+SUM(T16:T17)</f>
        <v>-20</v>
      </c>
      <c r="U18" s="37"/>
      <c r="V18" s="407">
        <v>-29.719289999999997</v>
      </c>
      <c r="W18" s="407">
        <v>30.703610000000001</v>
      </c>
      <c r="X18" s="407">
        <f t="shared" ref="X18" si="14">+SUM(X16:X17)</f>
        <v>0</v>
      </c>
      <c r="Y18" s="46"/>
      <c r="Z18" s="46"/>
      <c r="AA18" s="39"/>
      <c r="AB18" s="248">
        <f t="shared" ref="AB18:AD18" si="15">+SUM(AB16:AB17)</f>
        <v>-22</v>
      </c>
      <c r="AC18" s="248">
        <f t="shared" si="15"/>
        <v>28.2</v>
      </c>
      <c r="AD18" s="248">
        <f t="shared" si="15"/>
        <v>6.1999999999999993</v>
      </c>
      <c r="AE18" s="196"/>
      <c r="AF18" s="199"/>
      <c r="AG18" s="194"/>
      <c r="AH18" s="195"/>
      <c r="AI18" s="163">
        <v>-24.724150000000002</v>
      </c>
      <c r="AJ18" s="163">
        <v>29.005109999999998</v>
      </c>
      <c r="AK18" s="163">
        <v>4.2809599999999968</v>
      </c>
      <c r="AL18" s="163"/>
      <c r="AM18" s="20"/>
      <c r="AN18" s="20"/>
      <c r="AO18" s="20"/>
      <c r="AP18" s="339">
        <v>-47.55</v>
      </c>
      <c r="AQ18" s="339">
        <v>28.2</v>
      </c>
      <c r="AR18" s="339">
        <f t="shared" si="4"/>
        <v>-19.349999999999998</v>
      </c>
      <c r="AS18" s="225"/>
      <c r="AT18" s="20"/>
      <c r="AU18" s="20" t="s">
        <v>482</v>
      </c>
      <c r="AV18" s="20"/>
      <c r="AW18" s="331">
        <v>-16.010189999999998</v>
      </c>
      <c r="AX18" s="331">
        <v>22.493220000000001</v>
      </c>
      <c r="AY18" s="331">
        <f t="shared" si="5"/>
        <v>6.483030000000003</v>
      </c>
      <c r="AZ18" s="20"/>
      <c r="BA18" s="20"/>
      <c r="BB18" s="20"/>
      <c r="BC18" s="20"/>
      <c r="BD18" s="221" t="e">
        <f>-SUMIF(#REF!,'pôles &amp; actions'!$C18,#REF!)/1000</f>
        <v>#REF!</v>
      </c>
      <c r="BE18" s="221" t="e">
        <f>SUMIF(#REF!,'pôles &amp; actions'!$C18,#REF!)/1000</f>
        <v>#REF!</v>
      </c>
      <c r="BF18" s="221" t="e">
        <f t="shared" si="7"/>
        <v>#REF!</v>
      </c>
      <c r="BG18" s="221" t="e">
        <f t="shared" si="3"/>
        <v>#REF!</v>
      </c>
      <c r="BK18" s="345">
        <v>-50.55</v>
      </c>
      <c r="BL18" s="345">
        <v>33.200000000000003</v>
      </c>
      <c r="BM18" s="345">
        <f t="shared" si="6"/>
        <v>-17.349999999999994</v>
      </c>
      <c r="BN18" s="225"/>
    </row>
    <row r="19" spans="1:66" ht="15" customHeight="1" outlineLevel="2" x14ac:dyDescent="0.25">
      <c r="A19" s="324">
        <v>13</v>
      </c>
      <c r="B19" s="385" t="s">
        <v>57</v>
      </c>
      <c r="C19" s="386" t="s">
        <v>58</v>
      </c>
      <c r="D19" s="37">
        <v>0</v>
      </c>
      <c r="E19" s="37">
        <v>0</v>
      </c>
      <c r="F19" s="37">
        <f t="shared" si="8"/>
        <v>0</v>
      </c>
      <c r="G19" s="38"/>
      <c r="H19" s="39"/>
      <c r="I19" s="37">
        <v>-42.48</v>
      </c>
      <c r="J19" s="37">
        <v>25.5</v>
      </c>
      <c r="K19" s="37">
        <f t="shared" si="0"/>
        <v>-16.979999999999997</v>
      </c>
      <c r="L19" s="38"/>
      <c r="M19" s="38"/>
      <c r="N19" s="37" t="e">
        <f>-SUMIF(#REF!,$C19,#REF!)/1000</f>
        <v>#REF!</v>
      </c>
      <c r="O19" s="37" t="e">
        <f>SUMIF(#REF!,$C19,#REF!)/1000</f>
        <v>#REF!</v>
      </c>
      <c r="P19" s="37" t="e">
        <f t="shared" si="9"/>
        <v>#REF!</v>
      </c>
      <c r="Q19" s="39"/>
      <c r="R19" s="157">
        <v>0</v>
      </c>
      <c r="S19" s="157">
        <v>15</v>
      </c>
      <c r="T19" s="157">
        <f t="shared" si="10"/>
        <v>15</v>
      </c>
      <c r="U19" s="37"/>
      <c r="V19" s="407">
        <v>-5.0478199999999998</v>
      </c>
      <c r="W19" s="407">
        <v>11.70393</v>
      </c>
      <c r="X19" s="407">
        <f t="shared" si="12"/>
        <v>6.65611</v>
      </c>
      <c r="Y19" s="46"/>
      <c r="Z19" s="46"/>
      <c r="AA19" s="39"/>
      <c r="AB19" s="248">
        <v>-6</v>
      </c>
      <c r="AC19" s="248"/>
      <c r="AD19" s="248">
        <f t="shared" si="11"/>
        <v>-6</v>
      </c>
      <c r="AE19" s="193"/>
      <c r="AF19" s="199"/>
      <c r="AG19" s="194"/>
      <c r="AH19" s="195"/>
      <c r="AI19" s="163">
        <v>-5.1609099999999994</v>
      </c>
      <c r="AJ19" s="163">
        <v>8.6878399999999996</v>
      </c>
      <c r="AK19" s="163">
        <v>3.5269300000000001</v>
      </c>
      <c r="AL19" s="163"/>
      <c r="AM19" s="20"/>
      <c r="AN19" s="20"/>
      <c r="AO19" s="20"/>
      <c r="AP19" s="339"/>
      <c r="AQ19" s="339">
        <v>22</v>
      </c>
      <c r="AR19" s="339">
        <f t="shared" si="4"/>
        <v>22</v>
      </c>
      <c r="AS19" s="225"/>
      <c r="AT19" s="20"/>
      <c r="AU19" s="20" t="s">
        <v>483</v>
      </c>
      <c r="AV19" s="20"/>
      <c r="AW19" s="331">
        <v>-14.739030000000001</v>
      </c>
      <c r="AX19" s="331">
        <v>0</v>
      </c>
      <c r="AY19" s="331">
        <f t="shared" si="5"/>
        <v>-14.739030000000001</v>
      </c>
      <c r="AZ19" s="20"/>
      <c r="BA19" s="20"/>
      <c r="BB19" s="20"/>
      <c r="BC19" s="20"/>
      <c r="BD19" s="221" t="e">
        <f>-SUMIF(#REF!,'pôles &amp; actions'!$C19,#REF!)/1000</f>
        <v>#REF!</v>
      </c>
      <c r="BE19" s="221" t="e">
        <f>SUMIF(#REF!,'pôles &amp; actions'!$C19,#REF!)/1000</f>
        <v>#REF!</v>
      </c>
      <c r="BF19" s="221" t="e">
        <f t="shared" si="7"/>
        <v>#REF!</v>
      </c>
      <c r="BG19" s="221" t="e">
        <f t="shared" si="3"/>
        <v>#REF!</v>
      </c>
      <c r="BK19" s="345"/>
      <c r="BL19" s="345">
        <v>22</v>
      </c>
      <c r="BM19" s="345">
        <f t="shared" si="6"/>
        <v>22</v>
      </c>
      <c r="BN19" s="225"/>
    </row>
    <row r="20" spans="1:66" ht="15" customHeight="1" outlineLevel="2" x14ac:dyDescent="0.25">
      <c r="A20" s="324">
        <v>14</v>
      </c>
      <c r="B20" s="385" t="s">
        <v>59</v>
      </c>
      <c r="C20" s="386" t="s">
        <v>60</v>
      </c>
      <c r="D20" s="37">
        <v>0</v>
      </c>
      <c r="E20" s="37">
        <v>0</v>
      </c>
      <c r="F20" s="37">
        <f>SUM(D20:E20)</f>
        <v>0</v>
      </c>
      <c r="G20" s="38"/>
      <c r="H20" s="39"/>
      <c r="I20" s="37">
        <v>0</v>
      </c>
      <c r="J20" s="37">
        <v>0.3</v>
      </c>
      <c r="K20" s="37">
        <f>SUM(I20:J20)</f>
        <v>0.3</v>
      </c>
      <c r="L20" s="38"/>
      <c r="M20" s="38"/>
      <c r="N20" s="37" t="e">
        <f>-SUMIF(#REF!,$C20,#REF!)/1000</f>
        <v>#REF!</v>
      </c>
      <c r="O20" s="37" t="e">
        <f>SUMIF(#REF!,$C20,#REF!)/1000</f>
        <v>#REF!</v>
      </c>
      <c r="P20" s="37" t="e">
        <f>N20+O20</f>
        <v>#REF!</v>
      </c>
      <c r="Q20" s="39"/>
      <c r="R20" s="157">
        <v>0</v>
      </c>
      <c r="S20" s="157">
        <v>0.5</v>
      </c>
      <c r="T20" s="157">
        <f>R20+S20</f>
        <v>0.5</v>
      </c>
      <c r="U20" s="37"/>
      <c r="V20" s="407">
        <v>0</v>
      </c>
      <c r="W20" s="407">
        <v>2.8831500000000001</v>
      </c>
      <c r="X20" s="407">
        <f>SUM(V20:W20)</f>
        <v>2.8831500000000001</v>
      </c>
      <c r="Y20" s="46"/>
      <c r="Z20" s="46"/>
      <c r="AA20" s="39"/>
      <c r="AB20" s="248"/>
      <c r="AC20" s="248"/>
      <c r="AD20" s="248">
        <f>AB20+AC20</f>
        <v>0</v>
      </c>
      <c r="AE20" s="193"/>
      <c r="AF20" s="199"/>
      <c r="AG20" s="194"/>
      <c r="AH20" s="195"/>
      <c r="AI20" s="163">
        <v>0</v>
      </c>
      <c r="AJ20" s="163">
        <v>5.63</v>
      </c>
      <c r="AK20" s="163">
        <v>5.63</v>
      </c>
      <c r="AL20" s="163"/>
      <c r="AM20" s="20"/>
      <c r="AN20" s="20"/>
      <c r="AO20" s="20"/>
      <c r="AP20" s="339"/>
      <c r="AQ20" s="339"/>
      <c r="AR20" s="339">
        <f t="shared" si="4"/>
        <v>0</v>
      </c>
      <c r="AS20" s="225"/>
      <c r="AT20" s="20"/>
      <c r="AU20" s="20"/>
      <c r="AV20" s="20"/>
      <c r="AW20" s="331">
        <v>0</v>
      </c>
      <c r="AX20" s="331">
        <v>11.52585</v>
      </c>
      <c r="AY20" s="331">
        <f t="shared" si="5"/>
        <v>11.52585</v>
      </c>
      <c r="AZ20" s="20"/>
      <c r="BA20" s="20"/>
      <c r="BB20" s="20"/>
      <c r="BC20" s="20"/>
      <c r="BD20" s="221" t="e">
        <f>-SUMIF(#REF!,'pôles &amp; actions'!$C20,#REF!)/1000</f>
        <v>#REF!</v>
      </c>
      <c r="BE20" s="221" t="e">
        <f>SUMIF(#REF!,'pôles &amp; actions'!$C20,#REF!)/1000</f>
        <v>#REF!</v>
      </c>
      <c r="BF20" s="221" t="e">
        <f t="shared" si="7"/>
        <v>#REF!</v>
      </c>
      <c r="BG20" s="221" t="e">
        <f t="shared" si="3"/>
        <v>#REF!</v>
      </c>
      <c r="BK20" s="345"/>
      <c r="BL20" s="345"/>
      <c r="BM20" s="345">
        <f t="shared" si="6"/>
        <v>0</v>
      </c>
      <c r="BN20" s="225"/>
    </row>
    <row r="21" spans="1:66" ht="15" customHeight="1" outlineLevel="2" thickBot="1" x14ac:dyDescent="0.3">
      <c r="A21" s="324">
        <v>15</v>
      </c>
      <c r="B21" s="385" t="s">
        <v>45</v>
      </c>
      <c r="C21" s="386" t="s">
        <v>61</v>
      </c>
      <c r="D21" s="37"/>
      <c r="E21" s="37"/>
      <c r="F21" s="37"/>
      <c r="G21" s="38"/>
      <c r="H21" s="39"/>
      <c r="I21" s="37">
        <v>-6.11</v>
      </c>
      <c r="J21" s="37">
        <v>0</v>
      </c>
      <c r="K21" s="37">
        <f t="shared" si="0"/>
        <v>-6.11</v>
      </c>
      <c r="L21" s="38"/>
      <c r="M21" s="38"/>
      <c r="N21" s="37" t="e">
        <f>-SUMIF(#REF!,$C21,#REF!)/1000</f>
        <v>#REF!</v>
      </c>
      <c r="O21" s="37" t="e">
        <f>SUMIF(#REF!,$C21,#REF!)/1000</f>
        <v>#REF!</v>
      </c>
      <c r="P21" s="37" t="e">
        <f t="shared" si="9"/>
        <v>#REF!</v>
      </c>
      <c r="Q21" s="39"/>
      <c r="R21" s="157">
        <v>-4</v>
      </c>
      <c r="S21" s="157">
        <v>0</v>
      </c>
      <c r="T21" s="157">
        <f t="shared" si="10"/>
        <v>-4</v>
      </c>
      <c r="U21" s="37"/>
      <c r="V21" s="407">
        <v>-3.1230700000000002</v>
      </c>
      <c r="W21" s="407">
        <v>0</v>
      </c>
      <c r="X21" s="407">
        <f t="shared" si="12"/>
        <v>-3.1230700000000002</v>
      </c>
      <c r="Y21" s="46"/>
      <c r="Z21" s="46"/>
      <c r="AA21" s="39"/>
      <c r="AB21" s="248">
        <v>-1.1399999999999999</v>
      </c>
      <c r="AC21" s="248"/>
      <c r="AD21" s="248">
        <f t="shared" si="11"/>
        <v>-1.1399999999999999</v>
      </c>
      <c r="AE21" s="193"/>
      <c r="AF21" s="199"/>
      <c r="AG21" s="194"/>
      <c r="AH21" s="195"/>
      <c r="AI21" s="163">
        <v>-1.4979800000000001</v>
      </c>
      <c r="AJ21" s="163">
        <v>0</v>
      </c>
      <c r="AK21" s="163">
        <v>-1.4979800000000001</v>
      </c>
      <c r="AL21" s="163"/>
      <c r="AM21" s="20"/>
      <c r="AN21" s="20"/>
      <c r="AO21" s="20"/>
      <c r="AP21" s="339">
        <v>-1.355</v>
      </c>
      <c r="AQ21" s="339"/>
      <c r="AR21" s="339">
        <f t="shared" si="4"/>
        <v>-1.355</v>
      </c>
      <c r="AS21" s="225"/>
      <c r="AT21" s="20"/>
      <c r="AU21" s="20" t="s">
        <v>484</v>
      </c>
      <c r="AV21" s="20"/>
      <c r="AW21" s="331">
        <v>-2.38171</v>
      </c>
      <c r="AX21" s="331">
        <v>0</v>
      </c>
      <c r="AY21" s="331">
        <f t="shared" si="5"/>
        <v>-2.38171</v>
      </c>
      <c r="AZ21" s="20"/>
      <c r="BA21" s="20"/>
      <c r="BB21" s="20"/>
      <c r="BC21" s="20"/>
      <c r="BD21" s="221" t="e">
        <f>-SUMIF(#REF!,'pôles &amp; actions'!$C21,#REF!)/1000</f>
        <v>#REF!</v>
      </c>
      <c r="BE21" s="221" t="e">
        <f>SUMIF(#REF!,'pôles &amp; actions'!$C21,#REF!)/1000</f>
        <v>#REF!</v>
      </c>
      <c r="BF21" s="221" t="e">
        <f t="shared" si="7"/>
        <v>#REF!</v>
      </c>
      <c r="BG21" s="221" t="e">
        <f t="shared" si="3"/>
        <v>#REF!</v>
      </c>
      <c r="BK21" s="345"/>
      <c r="BL21" s="345"/>
      <c r="BM21" s="345">
        <f t="shared" si="6"/>
        <v>0</v>
      </c>
      <c r="BN21" s="225"/>
    </row>
    <row r="22" spans="1:66" s="34" customFormat="1" ht="15" customHeight="1" outlineLevel="1" thickBot="1" x14ac:dyDescent="0.3">
      <c r="A22" s="324">
        <v>16</v>
      </c>
      <c r="B22" s="392" t="s">
        <v>62</v>
      </c>
      <c r="C22" s="393"/>
      <c r="D22" s="41">
        <f>SUM(D18:D21,D11:D15)</f>
        <v>-82.375</v>
      </c>
      <c r="E22" s="41">
        <f>SUM(E18:E21,E11:E15)</f>
        <v>54.075000000000003</v>
      </c>
      <c r="F22" s="41">
        <f t="shared" si="8"/>
        <v>-28.299999999999997</v>
      </c>
      <c r="G22" s="38"/>
      <c r="H22" s="39"/>
      <c r="I22" s="41">
        <f>SUM(I18:I21,I11:I15)</f>
        <v>-153</v>
      </c>
      <c r="J22" s="41">
        <f>SUM(J18:J21,J11:J15)</f>
        <v>134.4</v>
      </c>
      <c r="K22" s="41">
        <f t="shared" si="0"/>
        <v>-18.599999999999994</v>
      </c>
      <c r="L22" s="38"/>
      <c r="M22" s="38"/>
      <c r="N22" s="41" t="e">
        <f>SUM(N18:N21,N11:N15)</f>
        <v>#REF!</v>
      </c>
      <c r="O22" s="41" t="e">
        <f>SUM(O18:O21,O11:O15)</f>
        <v>#REF!</v>
      </c>
      <c r="P22" s="41" t="e">
        <f>SUM(P18:P21,P11:P15)</f>
        <v>#REF!</v>
      </c>
      <c r="Q22" s="39"/>
      <c r="R22" s="172">
        <f>SUM(R18:R21,R11:R15)</f>
        <v>-124.39999999999999</v>
      </c>
      <c r="S22" s="172">
        <f>SUM(S18:S21,S11:S15)</f>
        <v>89.06</v>
      </c>
      <c r="T22" s="172">
        <f>SUM(T18:T21,T11:T15)</f>
        <v>-35.339999999999996</v>
      </c>
      <c r="U22" s="41"/>
      <c r="V22" s="409">
        <f>SUM(V18:V21,V11:V15)</f>
        <v>-81.245249999999999</v>
      </c>
      <c r="W22" s="409">
        <f>SUM(W18:W21,W11:W15)</f>
        <v>55.278939999999999</v>
      </c>
      <c r="X22" s="409">
        <f>SUM(X18:X21,X11:X15)</f>
        <v>-26.95063</v>
      </c>
      <c r="Y22" s="80"/>
      <c r="Z22" s="80">
        <f>SUM(Z18:Z21,Z11:Z15)</f>
        <v>0</v>
      </c>
      <c r="AA22" s="39"/>
      <c r="AB22" s="250">
        <f>SUM(AB18:AB21,AB11:AB15)</f>
        <v>-110.35</v>
      </c>
      <c r="AC22" s="250">
        <f>SUM(AC18:AC21,AC11:AC15)</f>
        <v>83.01</v>
      </c>
      <c r="AD22" s="250">
        <f>SUM(AD18:AD21,AD11:AD15)</f>
        <v>-27.34</v>
      </c>
      <c r="AE22" s="41"/>
      <c r="AF22" s="80"/>
      <c r="AG22" s="197"/>
      <c r="AH22" s="198"/>
      <c r="AI22" s="285">
        <f>SUM(AI11:AI21)</f>
        <v>-114.1742</v>
      </c>
      <c r="AJ22" s="285">
        <f>SUM(AJ11:AJ21)</f>
        <v>108.54890999999999</v>
      </c>
      <c r="AK22" s="285">
        <f>AJ22+AI22</f>
        <v>-5.6252900000000068</v>
      </c>
      <c r="AL22" s="163"/>
      <c r="AM22" s="20"/>
      <c r="AN22" s="20"/>
      <c r="AO22" s="20"/>
      <c r="AP22" s="418">
        <f>SUM(AP18:AP21,AP11:AP15)</f>
        <v>-137.22499999999999</v>
      </c>
      <c r="AQ22" s="418">
        <f>SUM(AQ18:AQ21,AQ11:AQ15)</f>
        <v>120.86</v>
      </c>
      <c r="AR22" s="418">
        <f t="shared" si="4"/>
        <v>-16.364999999999995</v>
      </c>
      <c r="AS22" s="225"/>
      <c r="AT22" s="275">
        <f>SUM(AT11:AT21)</f>
        <v>53.62</v>
      </c>
      <c r="AU22" s="20" t="s">
        <v>485</v>
      </c>
      <c r="AV22" s="20"/>
      <c r="AW22" s="430">
        <f>SUM(AW11:AW21)</f>
        <v>-106.03896999999998</v>
      </c>
      <c r="AX22" s="430">
        <f>SUM(AX11:AX21)</f>
        <v>87.311340000000015</v>
      </c>
      <c r="AY22" s="430">
        <f t="shared" si="5"/>
        <v>-18.727629999999962</v>
      </c>
      <c r="AZ22" s="20"/>
      <c r="BA22" s="20"/>
      <c r="BB22" s="20"/>
      <c r="BC22" s="20"/>
      <c r="BD22" s="227" t="e">
        <f>SUM(BD18:BD21,BD11:BD15)</f>
        <v>#REF!</v>
      </c>
      <c r="BE22" s="227" t="e">
        <f>SUM(BE18:BE21,BE11:BE15)</f>
        <v>#REF!</v>
      </c>
      <c r="BF22" s="227" t="e">
        <f>SUM(BF18:BF21,BF11:BF15)</f>
        <v>#REF!</v>
      </c>
      <c r="BG22" s="221" t="e">
        <f t="shared" si="3"/>
        <v>#REF!</v>
      </c>
      <c r="BK22" s="436">
        <f>SUM(BK18:BK21,BK11:BK15)</f>
        <v>-133.22999999999999</v>
      </c>
      <c r="BL22" s="436">
        <f>SUM(BL18:BL21,BL11:BL15)</f>
        <v>115.38</v>
      </c>
      <c r="BM22" s="436">
        <f t="shared" si="6"/>
        <v>-17.849999999999994</v>
      </c>
      <c r="BN22" s="225"/>
    </row>
    <row r="23" spans="1:66" ht="15" customHeight="1" outlineLevel="1" x14ac:dyDescent="0.25">
      <c r="A23" s="324">
        <v>17</v>
      </c>
      <c r="B23" s="387" t="s">
        <v>63</v>
      </c>
      <c r="C23" s="388"/>
      <c r="D23" s="42">
        <f>D22+D10</f>
        <v>-88.224999999999994</v>
      </c>
      <c r="E23" s="42">
        <f>E22+E10</f>
        <v>56.075000000000003</v>
      </c>
      <c r="F23" s="42">
        <f t="shared" si="8"/>
        <v>-32.149999999999991</v>
      </c>
      <c r="G23" s="38"/>
      <c r="H23" s="39"/>
      <c r="I23" s="42">
        <f>I22+I10</f>
        <v>-158.22999999999999</v>
      </c>
      <c r="J23" s="42">
        <f>J22+J10</f>
        <v>137.1</v>
      </c>
      <c r="K23" s="42">
        <f t="shared" si="0"/>
        <v>-21.129999999999995</v>
      </c>
      <c r="L23" s="38"/>
      <c r="M23" s="38"/>
      <c r="N23" s="42" t="e">
        <f>N22+N10</f>
        <v>#REF!</v>
      </c>
      <c r="O23" s="42" t="e">
        <f>O22+O10</f>
        <v>#REF!</v>
      </c>
      <c r="P23" s="42" t="e">
        <f>P22+P10</f>
        <v>#REF!</v>
      </c>
      <c r="Q23" s="39"/>
      <c r="R23" s="92">
        <f>R22+R10</f>
        <v>-130.89999999999998</v>
      </c>
      <c r="S23" s="92">
        <f>S22+S10</f>
        <v>93.06</v>
      </c>
      <c r="T23" s="92">
        <f>T22+T10</f>
        <v>-37.839999999999996</v>
      </c>
      <c r="U23" s="42"/>
      <c r="V23" s="410">
        <f>V22+V10</f>
        <v>-81.641819999999996</v>
      </c>
      <c r="W23" s="410">
        <f>W22+W10</f>
        <v>55.573509999999999</v>
      </c>
      <c r="X23" s="410">
        <f>X22+X10</f>
        <v>-27.052630000000001</v>
      </c>
      <c r="Y23" s="67"/>
      <c r="Z23" s="67">
        <f t="shared" ref="Z23" si="16">Z22+Z10</f>
        <v>0</v>
      </c>
      <c r="AA23" s="39"/>
      <c r="AB23" s="251">
        <f>AB22+AB10</f>
        <v>-112.8</v>
      </c>
      <c r="AC23" s="252">
        <f>AC22+AC10</f>
        <v>84.660000000000011</v>
      </c>
      <c r="AD23" s="232">
        <f>AD22+AD10</f>
        <v>-28.14</v>
      </c>
      <c r="AE23" s="41"/>
      <c r="AF23" s="80"/>
      <c r="AG23" s="194"/>
      <c r="AH23" s="195"/>
      <c r="AI23" s="285">
        <f>SUM(AI10,AI22)</f>
        <v>-119.7841</v>
      </c>
      <c r="AJ23" s="285">
        <f>SUM(AJ10,AJ22)</f>
        <v>113.31734999999999</v>
      </c>
      <c r="AK23" s="285">
        <f>AJ23+AI23</f>
        <v>-6.4667500000000047</v>
      </c>
      <c r="AL23" s="163"/>
      <c r="AM23" s="242"/>
      <c r="AN23" s="242"/>
      <c r="AO23" s="20"/>
      <c r="AP23" s="419">
        <f>AP22+AP10</f>
        <v>-143.125</v>
      </c>
      <c r="AQ23" s="420">
        <f>AQ22+AQ10</f>
        <v>124.71</v>
      </c>
      <c r="AR23" s="421">
        <f t="shared" si="4"/>
        <v>-18.415000000000006</v>
      </c>
      <c r="AS23" s="243"/>
      <c r="AT23" s="274"/>
      <c r="AU23" s="242"/>
      <c r="AV23" s="20"/>
      <c r="AW23" s="430">
        <f>SUM(AW10,AW22)</f>
        <v>-111.74925999999998</v>
      </c>
      <c r="AX23" s="430">
        <f>SUM(AX10,AX22)</f>
        <v>92.478230000000011</v>
      </c>
      <c r="AY23" s="430">
        <f>AX23+AW23</f>
        <v>-19.271029999999968</v>
      </c>
      <c r="AZ23" s="20"/>
      <c r="BA23" s="20"/>
      <c r="BB23" s="20"/>
      <c r="BC23" s="20"/>
      <c r="BD23" s="227" t="e">
        <f>BD22+BD10</f>
        <v>#REF!</v>
      </c>
      <c r="BE23" s="227" t="e">
        <f>BE22+BE10</f>
        <v>#REF!</v>
      </c>
      <c r="BF23" s="227" t="e">
        <f>BF22+BF10</f>
        <v>#REF!</v>
      </c>
      <c r="BG23" s="221" t="e">
        <f t="shared" si="3"/>
        <v>#REF!</v>
      </c>
      <c r="BK23" s="437">
        <f>BK22+BK10</f>
        <v>-138.13</v>
      </c>
      <c r="BL23" s="438">
        <f>BL22+BL10</f>
        <v>118.22999999999999</v>
      </c>
      <c r="BM23" s="439">
        <f t="shared" si="6"/>
        <v>-19.900000000000006</v>
      </c>
      <c r="BN23" s="243"/>
    </row>
    <row r="24" spans="1:66" ht="15" customHeight="1" x14ac:dyDescent="0.25">
      <c r="A24" s="324">
        <v>18</v>
      </c>
      <c r="B24" s="390"/>
      <c r="C24" s="39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102"/>
      <c r="P24" s="102"/>
      <c r="R24" s="601"/>
      <c r="S24" s="601"/>
      <c r="T24" s="601"/>
      <c r="V24" s="602"/>
      <c r="W24" s="602"/>
      <c r="X24" s="602"/>
      <c r="Y24" s="34"/>
      <c r="Z24" s="125"/>
      <c r="AB24" s="603"/>
      <c r="AC24" s="603"/>
      <c r="AD24" s="603"/>
      <c r="AE24" s="193"/>
      <c r="AF24" s="199"/>
      <c r="AG24" s="194"/>
      <c r="AH24" s="195"/>
      <c r="AI24" s="604"/>
      <c r="AJ24" s="604"/>
      <c r="AK24" s="604"/>
      <c r="AL24" s="20"/>
      <c r="AM24" s="20"/>
      <c r="AN24" s="20"/>
      <c r="AO24" s="20"/>
      <c r="AP24" s="605"/>
      <c r="AQ24" s="605"/>
      <c r="AR24" s="605"/>
      <c r="AS24" s="225"/>
      <c r="AT24" s="20"/>
      <c r="AU24" s="20"/>
      <c r="AV24" s="20"/>
      <c r="AW24" s="595"/>
      <c r="AX24" s="595"/>
      <c r="AY24" s="595"/>
      <c r="AZ24" s="20"/>
      <c r="BA24" s="20"/>
      <c r="BB24" s="20"/>
      <c r="BC24" s="20"/>
      <c r="BD24" s="599"/>
      <c r="BE24" s="599"/>
      <c r="BF24" s="599"/>
      <c r="BG24" s="221">
        <f t="shared" si="3"/>
        <v>0</v>
      </c>
      <c r="BK24" s="593"/>
      <c r="BL24" s="593"/>
      <c r="BM24" s="593"/>
      <c r="BN24" s="225"/>
    </row>
    <row r="25" spans="1:66" ht="15" customHeight="1" x14ac:dyDescent="0.25">
      <c r="A25" s="324">
        <v>19</v>
      </c>
      <c r="B25" s="396" t="str">
        <f>B$4</f>
        <v>en k€</v>
      </c>
      <c r="C25" s="384"/>
      <c r="D25" s="43" t="s">
        <v>8</v>
      </c>
      <c r="E25" s="43" t="s">
        <v>9</v>
      </c>
      <c r="F25" s="43" t="s">
        <v>64</v>
      </c>
      <c r="G25" s="38"/>
      <c r="H25" s="39"/>
      <c r="I25" s="43" t="s">
        <v>8</v>
      </c>
      <c r="J25" s="43" t="s">
        <v>9</v>
      </c>
      <c r="K25" s="44" t="str">
        <f>K$4</f>
        <v>2018a</v>
      </c>
      <c r="L25" s="38"/>
      <c r="M25" s="38"/>
      <c r="N25" s="43" t="s">
        <v>8</v>
      </c>
      <c r="O25" s="43" t="s">
        <v>9</v>
      </c>
      <c r="P25" s="44" t="str">
        <f>P$4</f>
        <v>2019a</v>
      </c>
      <c r="Q25" s="39"/>
      <c r="R25" s="93" t="s">
        <v>8</v>
      </c>
      <c r="S25" s="93" t="s">
        <v>9</v>
      </c>
      <c r="T25" s="93" t="s">
        <v>64</v>
      </c>
      <c r="U25" s="43"/>
      <c r="V25" s="411" t="s">
        <v>8</v>
      </c>
      <c r="W25" s="411" t="s">
        <v>9</v>
      </c>
      <c r="X25" s="412" t="s">
        <v>64</v>
      </c>
      <c r="Y25" s="80"/>
      <c r="Z25" s="80"/>
      <c r="AA25" s="39"/>
      <c r="AB25" s="235" t="s">
        <v>8</v>
      </c>
      <c r="AC25" s="235" t="s">
        <v>9</v>
      </c>
      <c r="AD25" s="236" t="str">
        <f>AD$4</f>
        <v>résultat</v>
      </c>
      <c r="AE25" s="192"/>
      <c r="AF25" s="199"/>
      <c r="AI25" s="140" t="s">
        <v>8</v>
      </c>
      <c r="AJ25" s="140" t="s">
        <v>9</v>
      </c>
      <c r="AK25" s="95" t="s">
        <v>64</v>
      </c>
      <c r="AL25" s="20"/>
      <c r="AM25" s="20"/>
      <c r="AN25" s="20"/>
      <c r="AO25" s="20"/>
      <c r="AP25" s="422" t="s">
        <v>8</v>
      </c>
      <c r="AQ25" s="422" t="s">
        <v>9</v>
      </c>
      <c r="AR25" s="423" t="str">
        <f>AR$4</f>
        <v>résultat</v>
      </c>
      <c r="AS25" s="225"/>
      <c r="AT25" s="20"/>
      <c r="AU25" s="20"/>
      <c r="AV25" s="20"/>
      <c r="AW25" s="431" t="s">
        <v>8</v>
      </c>
      <c r="AX25" s="431" t="s">
        <v>9</v>
      </c>
      <c r="AY25" s="432" t="s">
        <v>64</v>
      </c>
      <c r="AZ25" s="20"/>
      <c r="BA25" s="20"/>
      <c r="BB25" s="20"/>
      <c r="BC25" s="20"/>
      <c r="BD25" s="233" t="s">
        <v>8</v>
      </c>
      <c r="BE25" s="233" t="s">
        <v>9</v>
      </c>
      <c r="BF25" s="234" t="str">
        <f>BF$4</f>
        <v>résultat</v>
      </c>
      <c r="BG25" s="221"/>
      <c r="BK25" s="440" t="s">
        <v>8</v>
      </c>
      <c r="BL25" s="440" t="s">
        <v>9</v>
      </c>
      <c r="BM25" s="441" t="str">
        <f>BM$4</f>
        <v>résultat</v>
      </c>
      <c r="BN25" s="225"/>
    </row>
    <row r="26" spans="1:66" ht="15" customHeight="1" outlineLevel="2" x14ac:dyDescent="0.25">
      <c r="A26" s="324">
        <v>20</v>
      </c>
      <c r="B26" s="385" t="s">
        <v>37</v>
      </c>
      <c r="C26" s="386" t="s">
        <v>65</v>
      </c>
      <c r="D26" s="37">
        <v>-1</v>
      </c>
      <c r="E26" s="37">
        <v>0</v>
      </c>
      <c r="F26" s="37">
        <f>SUM(D26:E26)</f>
        <v>-1</v>
      </c>
      <c r="G26" s="38"/>
      <c r="H26" s="39"/>
      <c r="I26" s="37">
        <v>-1.46</v>
      </c>
      <c r="J26" s="37">
        <v>0.5</v>
      </c>
      <c r="K26" s="37">
        <f>SUM(I26:J26)</f>
        <v>-0.96</v>
      </c>
      <c r="L26" s="38"/>
      <c r="M26" s="38"/>
      <c r="N26" s="37" t="e">
        <f>-SUMIF(#REF!,$C26,#REF!)/1000</f>
        <v>#REF!</v>
      </c>
      <c r="O26" s="37" t="e">
        <f>SUMIF(#REF!,$C26,#REF!)/1000</f>
        <v>#REF!</v>
      </c>
      <c r="P26" s="37" t="e">
        <f t="shared" ref="P26:P35" si="17">N26+O26</f>
        <v>#REF!</v>
      </c>
      <c r="Q26" s="39"/>
      <c r="R26" s="156">
        <v>0</v>
      </c>
      <c r="S26" s="156">
        <v>0</v>
      </c>
      <c r="T26" s="156">
        <f t="shared" ref="T26:T35" si="18">R26+S26</f>
        <v>0</v>
      </c>
      <c r="U26" s="37"/>
      <c r="V26" s="406">
        <v>0</v>
      </c>
      <c r="W26" s="406">
        <v>0</v>
      </c>
      <c r="X26" s="406">
        <f>SUM(V26:W26)</f>
        <v>0</v>
      </c>
      <c r="Y26" s="46"/>
      <c r="Z26" s="131" t="s">
        <v>416</v>
      </c>
      <c r="AA26" s="39"/>
      <c r="AB26" s="247">
        <v>0</v>
      </c>
      <c r="AC26" s="247"/>
      <c r="AD26" s="247">
        <f>AB26+AC26</f>
        <v>0</v>
      </c>
      <c r="AE26" s="193"/>
      <c r="AF26" s="199"/>
      <c r="AG26" s="194"/>
      <c r="AH26" s="195"/>
      <c r="AI26" s="148">
        <v>0</v>
      </c>
      <c r="AJ26" s="148">
        <v>0</v>
      </c>
      <c r="AK26" s="148">
        <v>0</v>
      </c>
      <c r="AL26" s="20"/>
      <c r="AM26" s="20"/>
      <c r="AN26" s="20"/>
      <c r="AO26" s="20"/>
      <c r="AP26" s="339">
        <v>-2</v>
      </c>
      <c r="AQ26" s="339"/>
      <c r="AR26" s="339">
        <f t="shared" si="4"/>
        <v>-2</v>
      </c>
      <c r="AS26" s="225"/>
      <c r="AT26" s="11"/>
      <c r="AU26" s="20" t="s">
        <v>550</v>
      </c>
      <c r="AV26" s="20"/>
      <c r="AW26" s="332">
        <v>-2.0077699999999998</v>
      </c>
      <c r="AX26" s="332">
        <v>1.02</v>
      </c>
      <c r="AY26" s="332">
        <f t="shared" ref="AY26:AY67" si="19">AX26+AW26</f>
        <v>-0.98776999999999981</v>
      </c>
      <c r="AZ26" s="20"/>
      <c r="BA26" s="20"/>
      <c r="BB26" s="20"/>
      <c r="BC26" s="20"/>
      <c r="BD26" s="221" t="e">
        <f>-SUMIF(#REF!,'pôles &amp; actions'!$C26,#REF!)/1000</f>
        <v>#REF!</v>
      </c>
      <c r="BE26" s="221" t="e">
        <f>SUMIF(#REF!,'pôles &amp; actions'!$C26,#REF!)/1000</f>
        <v>#REF!</v>
      </c>
      <c r="BF26" s="221" t="e">
        <f t="shared" si="7"/>
        <v>#REF!</v>
      </c>
      <c r="BG26" s="221" t="e">
        <f t="shared" si="3"/>
        <v>#REF!</v>
      </c>
      <c r="BK26" s="345">
        <f>-1.5-8</f>
        <v>-9.5</v>
      </c>
      <c r="BL26" s="345">
        <v>4</v>
      </c>
      <c r="BM26" s="345">
        <f t="shared" ref="BM26:BM67" si="20">BK26+BL26</f>
        <v>-5.5</v>
      </c>
      <c r="BN26" s="225"/>
    </row>
    <row r="27" spans="1:66" ht="15" customHeight="1" outlineLevel="2" x14ac:dyDescent="0.25">
      <c r="A27" s="324">
        <v>21</v>
      </c>
      <c r="B27" s="385" t="s">
        <v>66</v>
      </c>
      <c r="C27" s="386" t="s">
        <v>67</v>
      </c>
      <c r="D27" s="37">
        <v>-44.2</v>
      </c>
      <c r="E27" s="37">
        <v>35</v>
      </c>
      <c r="F27" s="37">
        <f t="shared" ref="F27:F32" si="21">SUM(D27:E27)</f>
        <v>-9.2000000000000028</v>
      </c>
      <c r="G27" s="38"/>
      <c r="H27" s="39"/>
      <c r="I27" s="37">
        <v>-22.85</v>
      </c>
      <c r="J27" s="37">
        <v>15.1</v>
      </c>
      <c r="K27" s="37">
        <f t="shared" ref="K27:K35" si="22">SUM(I27:J27)</f>
        <v>-7.7500000000000018</v>
      </c>
      <c r="L27" s="38"/>
      <c r="M27" s="38"/>
      <c r="N27" s="37" t="e">
        <f>-SUMIF(#REF!,$C27,#REF!)/1000</f>
        <v>#REF!</v>
      </c>
      <c r="O27" s="37" t="e">
        <f>SUMIF(#REF!,$C27,#REF!)/1000</f>
        <v>#REF!</v>
      </c>
      <c r="P27" s="37" t="e">
        <f t="shared" si="17"/>
        <v>#REF!</v>
      </c>
      <c r="Q27" s="39"/>
      <c r="R27" s="157">
        <v>-26</v>
      </c>
      <c r="S27" s="157">
        <v>20.399999999999999</v>
      </c>
      <c r="T27" s="157">
        <f t="shared" si="18"/>
        <v>-5.6000000000000014</v>
      </c>
      <c r="U27" s="37"/>
      <c r="V27" s="407">
        <v>-13.57403</v>
      </c>
      <c r="W27" s="407">
        <v>10.056889999999999</v>
      </c>
      <c r="X27" s="407">
        <f t="shared" ref="X27:X35" si="23">SUM(V27:W27)</f>
        <v>-3.5171400000000013</v>
      </c>
      <c r="Y27" s="46"/>
      <c r="Z27" s="131" t="s">
        <v>419</v>
      </c>
      <c r="AA27" s="39"/>
      <c r="AB27" s="248">
        <v>-18.5</v>
      </c>
      <c r="AC27" s="248">
        <v>10.9</v>
      </c>
      <c r="AD27" s="248">
        <f t="shared" ref="AD27:AD35" si="24">AB27+AC27</f>
        <v>-7.6</v>
      </c>
      <c r="AE27" s="193"/>
      <c r="AF27" s="266"/>
      <c r="AG27" s="194"/>
      <c r="AH27" s="195"/>
      <c r="AI27" s="148">
        <v>-20.308199999999996</v>
      </c>
      <c r="AJ27" s="148">
        <v>17.311679999999999</v>
      </c>
      <c r="AK27" s="148">
        <v>-2.9965199999999967</v>
      </c>
      <c r="AL27" s="20"/>
      <c r="AM27" s="20"/>
      <c r="AN27" s="20"/>
      <c r="AO27" s="20"/>
      <c r="AP27" s="339">
        <v>-23.2</v>
      </c>
      <c r="AQ27" s="339">
        <v>14.6</v>
      </c>
      <c r="AR27" s="339">
        <f t="shared" si="4"/>
        <v>-8.6</v>
      </c>
      <c r="AS27" s="225"/>
      <c r="AT27" s="269">
        <v>23</v>
      </c>
      <c r="AU27" s="20" t="s">
        <v>463</v>
      </c>
      <c r="AV27" s="20"/>
      <c r="AW27" s="332">
        <v>-32.787100000000002</v>
      </c>
      <c r="AX27" s="332">
        <v>31.949640000000002</v>
      </c>
      <c r="AY27" s="332">
        <f t="shared" si="19"/>
        <v>-0.83746000000000009</v>
      </c>
      <c r="AZ27" s="20"/>
      <c r="BA27" s="20"/>
      <c r="BB27" s="20"/>
      <c r="BC27" s="20"/>
      <c r="BD27" s="221" t="e">
        <f>-SUMIF(#REF!,'pôles &amp; actions'!$C27,#REF!)/1000</f>
        <v>#REF!</v>
      </c>
      <c r="BE27" s="221" t="e">
        <f>SUMIF(#REF!,'pôles &amp; actions'!$C27,#REF!)/1000</f>
        <v>#REF!</v>
      </c>
      <c r="BF27" s="221" t="e">
        <f t="shared" si="7"/>
        <v>#REF!</v>
      </c>
      <c r="BG27" s="221" t="e">
        <f t="shared" si="3"/>
        <v>#REF!</v>
      </c>
      <c r="BK27" s="345">
        <v>-27</v>
      </c>
      <c r="BL27" s="345">
        <v>19</v>
      </c>
      <c r="BM27" s="345">
        <f t="shared" si="20"/>
        <v>-8</v>
      </c>
      <c r="BN27" s="225"/>
    </row>
    <row r="28" spans="1:66" ht="15" customHeight="1" outlineLevel="2" x14ac:dyDescent="0.25">
      <c r="A28" s="324">
        <v>22</v>
      </c>
      <c r="B28" s="385" t="s">
        <v>68</v>
      </c>
      <c r="C28" s="386" t="s">
        <v>69</v>
      </c>
      <c r="D28" s="37">
        <v>-4</v>
      </c>
      <c r="E28" s="37">
        <v>0</v>
      </c>
      <c r="F28" s="37">
        <f t="shared" si="21"/>
        <v>-4</v>
      </c>
      <c r="G28" s="38"/>
      <c r="H28" s="39"/>
      <c r="I28" s="37">
        <v>-4.5999999999999996</v>
      </c>
      <c r="J28" s="37">
        <v>0</v>
      </c>
      <c r="K28" s="37">
        <f t="shared" si="22"/>
        <v>-4.5999999999999996</v>
      </c>
      <c r="L28" s="38"/>
      <c r="M28" s="38"/>
      <c r="N28" s="37" t="e">
        <f>-SUMIF(#REF!,$C28,#REF!)/1000</f>
        <v>#REF!</v>
      </c>
      <c r="O28" s="37" t="e">
        <f>SUMIF(#REF!,$C28,#REF!)/1000</f>
        <v>#REF!</v>
      </c>
      <c r="P28" s="37" t="e">
        <f t="shared" si="17"/>
        <v>#REF!</v>
      </c>
      <c r="Q28" s="39"/>
      <c r="R28" s="157">
        <v>-4.5</v>
      </c>
      <c r="S28" s="157">
        <v>0</v>
      </c>
      <c r="T28" s="157">
        <f t="shared" si="18"/>
        <v>-4.5</v>
      </c>
      <c r="U28" s="37"/>
      <c r="V28" s="407">
        <v>-0.90300000000000002</v>
      </c>
      <c r="W28" s="407">
        <v>0</v>
      </c>
      <c r="X28" s="407">
        <f t="shared" si="23"/>
        <v>-0.90300000000000002</v>
      </c>
      <c r="Y28" s="46"/>
      <c r="Z28" s="131" t="s">
        <v>416</v>
      </c>
      <c r="AA28" s="39"/>
      <c r="AB28" s="248">
        <v>-3.3</v>
      </c>
      <c r="AC28" s="248"/>
      <c r="AD28" s="248">
        <f t="shared" si="24"/>
        <v>-3.3</v>
      </c>
      <c r="AE28" s="193"/>
      <c r="AF28" s="266"/>
      <c r="AG28" s="194"/>
      <c r="AH28" s="195"/>
      <c r="AI28" s="148">
        <v>-1.1535599999999999</v>
      </c>
      <c r="AJ28" s="148">
        <v>0</v>
      </c>
      <c r="AK28" s="148">
        <v>-1.1535599999999999</v>
      </c>
      <c r="AL28" s="20"/>
      <c r="AM28" s="20"/>
      <c r="AN28" s="20"/>
      <c r="AO28" s="20"/>
      <c r="AP28" s="339">
        <v>-2.8</v>
      </c>
      <c r="AQ28" s="339"/>
      <c r="AR28" s="339">
        <f t="shared" si="4"/>
        <v>-2.8</v>
      </c>
      <c r="AS28" s="225"/>
      <c r="AT28" s="269">
        <v>2.8</v>
      </c>
      <c r="AU28" s="20" t="s">
        <v>464</v>
      </c>
      <c r="AV28" s="20"/>
      <c r="AW28" s="332">
        <v>-1.1890000000000001</v>
      </c>
      <c r="AX28" s="332">
        <v>0</v>
      </c>
      <c r="AY28" s="332">
        <f t="shared" si="19"/>
        <v>-1.1890000000000001</v>
      </c>
      <c r="AZ28" s="20"/>
      <c r="BA28" s="20"/>
      <c r="BB28" s="20"/>
      <c r="BC28" s="20"/>
      <c r="BD28" s="221" t="e">
        <f>-SUMIF(#REF!,'pôles &amp; actions'!$C28,#REF!)/1000</f>
        <v>#REF!</v>
      </c>
      <c r="BE28" s="221" t="e">
        <f>SUMIF(#REF!,'pôles &amp; actions'!$C28,#REF!)/1000</f>
        <v>#REF!</v>
      </c>
      <c r="BF28" s="221" t="e">
        <f t="shared" si="7"/>
        <v>#REF!</v>
      </c>
      <c r="BG28" s="221" t="e">
        <f t="shared" si="3"/>
        <v>#REF!</v>
      </c>
      <c r="BK28" s="345">
        <v>-2</v>
      </c>
      <c r="BL28" s="345"/>
      <c r="BM28" s="345">
        <f t="shared" si="20"/>
        <v>-2</v>
      </c>
      <c r="BN28" s="225"/>
    </row>
    <row r="29" spans="1:66" ht="15" customHeight="1" outlineLevel="2" x14ac:dyDescent="0.25">
      <c r="A29" s="324">
        <v>23</v>
      </c>
      <c r="B29" s="385" t="s">
        <v>39</v>
      </c>
      <c r="C29" s="386" t="s">
        <v>70</v>
      </c>
      <c r="D29" s="37">
        <v>-1.3</v>
      </c>
      <c r="E29" s="37">
        <v>0</v>
      </c>
      <c r="F29" s="37">
        <f t="shared" si="21"/>
        <v>-1.3</v>
      </c>
      <c r="G29" s="38"/>
      <c r="H29" s="39"/>
      <c r="I29" s="37">
        <v>-0.2</v>
      </c>
      <c r="J29" s="37">
        <v>0</v>
      </c>
      <c r="K29" s="37">
        <f t="shared" si="22"/>
        <v>-0.2</v>
      </c>
      <c r="L29" s="38"/>
      <c r="M29" s="38"/>
      <c r="N29" s="37" t="e">
        <f>-SUMIF(#REF!,$C29,#REF!)/1000</f>
        <v>#REF!</v>
      </c>
      <c r="O29" s="37" t="e">
        <f>SUMIF(#REF!,$C29,#REF!)/1000</f>
        <v>#REF!</v>
      </c>
      <c r="P29" s="37" t="e">
        <f t="shared" si="17"/>
        <v>#REF!</v>
      </c>
      <c r="Q29" s="39"/>
      <c r="R29" s="157">
        <v>-1.65</v>
      </c>
      <c r="S29" s="157">
        <v>0</v>
      </c>
      <c r="T29" s="157">
        <f t="shared" si="18"/>
        <v>-1.65</v>
      </c>
      <c r="U29" s="37"/>
      <c r="V29" s="407">
        <v>-1.03545</v>
      </c>
      <c r="W29" s="407">
        <v>0</v>
      </c>
      <c r="X29" s="407">
        <f t="shared" si="23"/>
        <v>-1.03545</v>
      </c>
      <c r="Y29" s="46"/>
      <c r="Z29" s="131" t="s">
        <v>416</v>
      </c>
      <c r="AA29" s="39"/>
      <c r="AB29" s="248">
        <v>-0.4</v>
      </c>
      <c r="AC29" s="248"/>
      <c r="AD29" s="248">
        <f t="shared" si="24"/>
        <v>-0.4</v>
      </c>
      <c r="AE29" s="193"/>
      <c r="AF29" s="199"/>
      <c r="AG29" s="194"/>
      <c r="AH29" s="195"/>
      <c r="AI29" s="148">
        <v>-1.967E-2</v>
      </c>
      <c r="AJ29" s="148">
        <v>0</v>
      </c>
      <c r="AK29" s="148">
        <v>-1.967E-2</v>
      </c>
      <c r="AL29" s="20"/>
      <c r="AM29" s="20"/>
      <c r="AN29" s="20"/>
      <c r="AO29" s="20"/>
      <c r="AP29" s="339">
        <v>-0.5</v>
      </c>
      <c r="AQ29" s="339"/>
      <c r="AR29" s="339">
        <f t="shared" si="4"/>
        <v>-0.5</v>
      </c>
      <c r="AS29" s="225"/>
      <c r="AT29" s="11"/>
      <c r="AU29" s="20" t="s">
        <v>465</v>
      </c>
      <c r="AV29" s="20"/>
      <c r="AW29" s="332">
        <v>-0.99080000000000001</v>
      </c>
      <c r="AX29" s="332">
        <v>0.10672</v>
      </c>
      <c r="AY29" s="332">
        <f t="shared" si="19"/>
        <v>-0.88407999999999998</v>
      </c>
      <c r="AZ29" s="20"/>
      <c r="BA29" s="20"/>
      <c r="BB29" s="20"/>
      <c r="BC29" s="20"/>
      <c r="BD29" s="221" t="e">
        <f>-SUMIF(#REF!,'pôles &amp; actions'!$C29,#REF!)/1000</f>
        <v>#REF!</v>
      </c>
      <c r="BE29" s="221" t="e">
        <f>SUMIF(#REF!,'pôles &amp; actions'!$C29,#REF!)/1000</f>
        <v>#REF!</v>
      </c>
      <c r="BF29" s="221" t="e">
        <f t="shared" si="7"/>
        <v>#REF!</v>
      </c>
      <c r="BG29" s="221" t="e">
        <f t="shared" si="3"/>
        <v>#REF!</v>
      </c>
      <c r="BK29" s="345">
        <v>-0.3</v>
      </c>
      <c r="BL29" s="345"/>
      <c r="BM29" s="345">
        <f t="shared" si="20"/>
        <v>-0.3</v>
      </c>
      <c r="BN29" s="225"/>
    </row>
    <row r="30" spans="1:66" ht="15" customHeight="1" outlineLevel="2" x14ac:dyDescent="0.25">
      <c r="A30" s="324">
        <v>24</v>
      </c>
      <c r="B30" s="385" t="s">
        <v>43</v>
      </c>
      <c r="C30" s="386" t="s">
        <v>71</v>
      </c>
      <c r="D30" s="37">
        <v>-3</v>
      </c>
      <c r="E30" s="37">
        <v>0</v>
      </c>
      <c r="F30" s="37">
        <f t="shared" si="21"/>
        <v>-3</v>
      </c>
      <c r="G30" s="38"/>
      <c r="H30" s="39"/>
      <c r="I30" s="37">
        <v>-2.9</v>
      </c>
      <c r="J30" s="37">
        <v>0</v>
      </c>
      <c r="K30" s="37">
        <f t="shared" si="22"/>
        <v>-2.9</v>
      </c>
      <c r="L30" s="38"/>
      <c r="M30" s="38"/>
      <c r="N30" s="37" t="e">
        <f>-SUMIF(#REF!,$C30,#REF!)/1000</f>
        <v>#REF!</v>
      </c>
      <c r="O30" s="37" t="e">
        <f>SUMIF(#REF!,$C30,#REF!)/1000</f>
        <v>#REF!</v>
      </c>
      <c r="P30" s="37" t="e">
        <f t="shared" si="17"/>
        <v>#REF!</v>
      </c>
      <c r="Q30" s="39"/>
      <c r="R30" s="157">
        <v>-8.6999999999999993</v>
      </c>
      <c r="S30" s="157">
        <v>0</v>
      </c>
      <c r="T30" s="157">
        <f t="shared" si="18"/>
        <v>-8.6999999999999993</v>
      </c>
      <c r="U30" s="37"/>
      <c r="V30" s="407">
        <v>-2.4047800000000001</v>
      </c>
      <c r="W30" s="407">
        <v>0.43380000000000002</v>
      </c>
      <c r="X30" s="407">
        <f t="shared" si="23"/>
        <v>-1.9709800000000002</v>
      </c>
      <c r="Y30" s="46"/>
      <c r="Z30" s="131" t="s">
        <v>416</v>
      </c>
      <c r="AA30" s="39"/>
      <c r="AB30" s="248">
        <v>-3.5</v>
      </c>
      <c r="AC30" s="248"/>
      <c r="AD30" s="248">
        <f t="shared" si="24"/>
        <v>-3.5</v>
      </c>
      <c r="AE30" s="193"/>
      <c r="AF30" s="266"/>
      <c r="AG30" s="194"/>
      <c r="AH30" s="195"/>
      <c r="AI30" s="148">
        <v>-2.5299999999999998</v>
      </c>
      <c r="AJ30" s="148">
        <v>0.82079999999999997</v>
      </c>
      <c r="AK30" s="148">
        <v>-1.7091999999999998</v>
      </c>
      <c r="AL30" s="20"/>
      <c r="AM30" s="20"/>
      <c r="AN30" s="20"/>
      <c r="AO30" s="20"/>
      <c r="AP30" s="339">
        <v>-3.5</v>
      </c>
      <c r="AQ30" s="339"/>
      <c r="AR30" s="339">
        <f t="shared" si="4"/>
        <v>-3.5</v>
      </c>
      <c r="AS30" s="225"/>
      <c r="AT30" s="269">
        <v>3.5</v>
      </c>
      <c r="AU30" s="20" t="s">
        <v>552</v>
      </c>
      <c r="AV30" s="20"/>
      <c r="AW30" s="332">
        <v>0</v>
      </c>
      <c r="AX30" s="332">
        <v>0</v>
      </c>
      <c r="AY30" s="332">
        <f t="shared" si="19"/>
        <v>0</v>
      </c>
      <c r="AZ30" s="20"/>
      <c r="BA30" s="20"/>
      <c r="BB30" s="20"/>
      <c r="BC30" s="20"/>
      <c r="BD30" s="221" t="e">
        <f>-SUMIF(#REF!,'pôles &amp; actions'!$C30,#REF!)/1000</f>
        <v>#REF!</v>
      </c>
      <c r="BE30" s="221" t="e">
        <f>SUMIF(#REF!,'pôles &amp; actions'!$C30,#REF!)/1000</f>
        <v>#REF!</v>
      </c>
      <c r="BF30" s="221" t="e">
        <f t="shared" si="7"/>
        <v>#REF!</v>
      </c>
      <c r="BG30" s="221" t="e">
        <f t="shared" si="3"/>
        <v>#REF!</v>
      </c>
      <c r="BK30" s="345">
        <v>-3</v>
      </c>
      <c r="BL30" s="345"/>
      <c r="BM30" s="345">
        <f t="shared" si="20"/>
        <v>-3</v>
      </c>
      <c r="BN30" s="225"/>
    </row>
    <row r="31" spans="1:66" ht="15" customHeight="1" outlineLevel="2" x14ac:dyDescent="0.25">
      <c r="A31" s="324">
        <v>25</v>
      </c>
      <c r="B31" s="385" t="s">
        <v>41</v>
      </c>
      <c r="C31" s="386" t="s">
        <v>72</v>
      </c>
      <c r="D31" s="37">
        <v>-2.5</v>
      </c>
      <c r="E31" s="37">
        <v>0.5</v>
      </c>
      <c r="F31" s="37">
        <f t="shared" si="21"/>
        <v>-2</v>
      </c>
      <c r="G31" s="38"/>
      <c r="H31" s="39"/>
      <c r="I31" s="37">
        <v>-1</v>
      </c>
      <c r="J31" s="37">
        <v>0.2</v>
      </c>
      <c r="K31" s="37">
        <f t="shared" si="22"/>
        <v>-0.8</v>
      </c>
      <c r="L31" s="38"/>
      <c r="M31" s="38"/>
      <c r="N31" s="37" t="e">
        <f>-SUMIF(#REF!,$C31,#REF!)/1000</f>
        <v>#REF!</v>
      </c>
      <c r="O31" s="37" t="e">
        <f>SUMIF(#REF!,$C31,#REF!)/1000</f>
        <v>#REF!</v>
      </c>
      <c r="P31" s="37" t="e">
        <f t="shared" si="17"/>
        <v>#REF!</v>
      </c>
      <c r="Q31" s="39"/>
      <c r="R31" s="157">
        <v>-3.5</v>
      </c>
      <c r="S31" s="157">
        <v>0</v>
      </c>
      <c r="T31" s="157">
        <f t="shared" si="18"/>
        <v>-3.5</v>
      </c>
      <c r="U31" s="37"/>
      <c r="V31" s="407">
        <v>-2.80823</v>
      </c>
      <c r="W31" s="407">
        <v>0</v>
      </c>
      <c r="X31" s="407">
        <f t="shared" si="23"/>
        <v>-2.80823</v>
      </c>
      <c r="Y31" s="46"/>
      <c r="Z31" s="131" t="s">
        <v>419</v>
      </c>
      <c r="AA31" s="39"/>
      <c r="AB31" s="248">
        <v>-2.6</v>
      </c>
      <c r="AC31" s="248"/>
      <c r="AD31" s="248">
        <f t="shared" si="24"/>
        <v>-2.6</v>
      </c>
      <c r="AE31" s="193"/>
      <c r="AF31" s="138"/>
      <c r="AG31" s="200" t="s">
        <v>397</v>
      </c>
      <c r="AH31" s="195"/>
      <c r="AI31" s="148">
        <v>-2.1964999999999999</v>
      </c>
      <c r="AJ31" s="148">
        <v>0.28599999999999998</v>
      </c>
      <c r="AK31" s="148">
        <v>-1.9104999999999999</v>
      </c>
      <c r="AL31" s="20"/>
      <c r="AM31" s="20"/>
      <c r="AN31" s="244"/>
      <c r="AO31" s="20"/>
      <c r="AP31" s="339">
        <v>-4</v>
      </c>
      <c r="AQ31" s="339"/>
      <c r="AR31" s="339">
        <f t="shared" si="4"/>
        <v>-4</v>
      </c>
      <c r="AS31" s="225"/>
      <c r="AT31" s="269">
        <v>4</v>
      </c>
      <c r="AU31" s="20" t="s">
        <v>551</v>
      </c>
      <c r="AV31" s="20"/>
      <c r="AW31" s="332">
        <v>-3.7445699999999995</v>
      </c>
      <c r="AX31" s="332">
        <v>0</v>
      </c>
      <c r="AY31" s="332">
        <f t="shared" si="19"/>
        <v>-3.7445699999999995</v>
      </c>
      <c r="AZ31" s="20"/>
      <c r="BA31" s="20"/>
      <c r="BB31" s="20"/>
      <c r="BC31" s="20"/>
      <c r="BD31" s="221" t="e">
        <f>-SUMIF(#REF!,'pôles &amp; actions'!$C31,#REF!)/1000</f>
        <v>#REF!</v>
      </c>
      <c r="BE31" s="221" t="e">
        <f>SUMIF(#REF!,'pôles &amp; actions'!$C31,#REF!)/1000</f>
        <v>#REF!</v>
      </c>
      <c r="BF31" s="221" t="e">
        <f t="shared" si="7"/>
        <v>#REF!</v>
      </c>
      <c r="BG31" s="221" t="e">
        <f t="shared" si="3"/>
        <v>#REF!</v>
      </c>
      <c r="BK31" s="345">
        <v>-4</v>
      </c>
      <c r="BL31" s="345"/>
      <c r="BM31" s="345">
        <f t="shared" si="20"/>
        <v>-4</v>
      </c>
      <c r="BN31" s="225"/>
    </row>
    <row r="32" spans="1:66" ht="15" customHeight="1" outlineLevel="2" x14ac:dyDescent="0.25">
      <c r="A32" s="324">
        <v>26</v>
      </c>
      <c r="B32" s="385" t="s">
        <v>73</v>
      </c>
      <c r="C32" s="386" t="s">
        <v>74</v>
      </c>
      <c r="D32" s="37">
        <v>-4</v>
      </c>
      <c r="E32" s="37">
        <v>0</v>
      </c>
      <c r="F32" s="37">
        <f t="shared" si="21"/>
        <v>-4</v>
      </c>
      <c r="G32" s="38"/>
      <c r="H32" s="39"/>
      <c r="I32" s="37">
        <v>-2</v>
      </c>
      <c r="J32" s="37">
        <v>1.2</v>
      </c>
      <c r="K32" s="37">
        <f t="shared" si="22"/>
        <v>-0.8</v>
      </c>
      <c r="L32" s="38"/>
      <c r="M32" s="38"/>
      <c r="N32" s="37" t="e">
        <f>-SUMIF(#REF!,$C32,#REF!)/1000</f>
        <v>#REF!</v>
      </c>
      <c r="O32" s="37" t="e">
        <f>SUMIF(#REF!,$C32,#REF!)/1000</f>
        <v>#REF!</v>
      </c>
      <c r="P32" s="37" t="e">
        <f t="shared" si="17"/>
        <v>#REF!</v>
      </c>
      <c r="Q32" s="39"/>
      <c r="R32" s="157">
        <v>-3</v>
      </c>
      <c r="S32" s="157">
        <v>0</v>
      </c>
      <c r="T32" s="157">
        <f t="shared" si="18"/>
        <v>-3</v>
      </c>
      <c r="U32" s="37"/>
      <c r="V32" s="407">
        <v>-2.37087</v>
      </c>
      <c r="W32" s="407">
        <v>0</v>
      </c>
      <c r="X32" s="407">
        <f t="shared" si="23"/>
        <v>-2.37087</v>
      </c>
      <c r="Y32" s="46"/>
      <c r="Z32" s="46"/>
      <c r="AA32" s="39"/>
      <c r="AB32" s="248">
        <v>-2.9</v>
      </c>
      <c r="AC32" s="248"/>
      <c r="AD32" s="248">
        <f t="shared" si="24"/>
        <v>-2.9</v>
      </c>
      <c r="AE32" s="193"/>
      <c r="AF32" s="199"/>
      <c r="AG32" s="194"/>
      <c r="AH32" s="195"/>
      <c r="AI32" s="148">
        <v>-2.1407099999999999</v>
      </c>
      <c r="AJ32" s="148">
        <v>0</v>
      </c>
      <c r="AK32" s="148">
        <v>-2.1407099999999999</v>
      </c>
      <c r="AL32" s="20"/>
      <c r="AM32" s="20"/>
      <c r="AN32" s="20"/>
      <c r="AO32" s="20"/>
      <c r="AP32" s="339">
        <v>-3</v>
      </c>
      <c r="AQ32" s="339"/>
      <c r="AR32" s="339">
        <f t="shared" si="4"/>
        <v>-3</v>
      </c>
      <c r="AS32" s="225"/>
      <c r="AT32" s="11"/>
      <c r="AU32" s="20" t="s">
        <v>466</v>
      </c>
      <c r="AV32" s="20"/>
      <c r="AW32" s="332">
        <v>-2.6165599999999998</v>
      </c>
      <c r="AX32" s="332">
        <v>0</v>
      </c>
      <c r="AY32" s="332">
        <f t="shared" si="19"/>
        <v>-2.6165599999999998</v>
      </c>
      <c r="AZ32" s="20"/>
      <c r="BA32" s="20"/>
      <c r="BB32" s="20"/>
      <c r="BC32" s="20"/>
      <c r="BD32" s="221" t="e">
        <f>-SUMIF(#REF!,'pôles &amp; actions'!$C32,#REF!)/1000</f>
        <v>#REF!</v>
      </c>
      <c r="BE32" s="221" t="e">
        <f>SUMIF(#REF!,'pôles &amp; actions'!$C32,#REF!)/1000</f>
        <v>#REF!</v>
      </c>
      <c r="BF32" s="221" t="e">
        <f t="shared" si="7"/>
        <v>#REF!</v>
      </c>
      <c r="BG32" s="221" t="e">
        <f t="shared" si="3"/>
        <v>#REF!</v>
      </c>
      <c r="BK32" s="345">
        <v>-3</v>
      </c>
      <c r="BL32" s="345"/>
      <c r="BM32" s="345">
        <f t="shared" si="20"/>
        <v>-3</v>
      </c>
      <c r="BN32" s="225"/>
    </row>
    <row r="33" spans="1:66" ht="15" customHeight="1" outlineLevel="2" x14ac:dyDescent="0.25">
      <c r="A33" s="324">
        <v>27</v>
      </c>
      <c r="B33" s="385" t="s">
        <v>75</v>
      </c>
      <c r="C33" s="386" t="s">
        <v>76</v>
      </c>
      <c r="D33" s="37">
        <v>-1.5</v>
      </c>
      <c r="E33" s="37">
        <v>2.9</v>
      </c>
      <c r="F33" s="37">
        <f>SUM(D33:E33)</f>
        <v>1.4</v>
      </c>
      <c r="G33" s="38"/>
      <c r="H33" s="39"/>
      <c r="I33" s="37">
        <v>-6.8</v>
      </c>
      <c r="J33" s="37">
        <v>6.4</v>
      </c>
      <c r="K33" s="37">
        <f>SUM(I33:J33)</f>
        <v>-0.39999999999999947</v>
      </c>
      <c r="L33" s="38"/>
      <c r="M33" s="38"/>
      <c r="N33" s="37" t="e">
        <f>-SUMIF(#REF!,$C33,#REF!)/1000</f>
        <v>#REF!</v>
      </c>
      <c r="O33" s="37" t="e">
        <f>SUMIF(#REF!,$C33,#REF!)/1000</f>
        <v>#REF!</v>
      </c>
      <c r="P33" s="37" t="e">
        <f t="shared" si="17"/>
        <v>#REF!</v>
      </c>
      <c r="Q33" s="39"/>
      <c r="R33" s="157">
        <v>-4.5</v>
      </c>
      <c r="S33" s="157">
        <v>2.1</v>
      </c>
      <c r="T33" s="157">
        <f t="shared" si="18"/>
        <v>-2.4</v>
      </c>
      <c r="U33" s="37"/>
      <c r="V33" s="407">
        <v>-2.4E-2</v>
      </c>
      <c r="W33" s="407">
        <v>2.4554499999999999</v>
      </c>
      <c r="X33" s="407">
        <f>SUM(V33:W33)</f>
        <v>2.4314499999999999</v>
      </c>
      <c r="Y33" s="46"/>
      <c r="Z33" s="46"/>
      <c r="AA33" s="39"/>
      <c r="AB33" s="248"/>
      <c r="AC33" s="248">
        <v>3.4</v>
      </c>
      <c r="AD33" s="248">
        <f>AB33+AC33</f>
        <v>3.4</v>
      </c>
      <c r="AE33" s="193"/>
      <c r="AF33" s="199"/>
      <c r="AG33" s="194"/>
      <c r="AH33" s="195"/>
      <c r="AI33" s="148">
        <v>0</v>
      </c>
      <c r="AJ33" s="148">
        <v>2.9338800000000003</v>
      </c>
      <c r="AK33" s="148">
        <v>2.9338800000000003</v>
      </c>
      <c r="AL33" s="20"/>
      <c r="AM33" s="20"/>
      <c r="AN33" s="20"/>
      <c r="AO33" s="20"/>
      <c r="AP33" s="339"/>
      <c r="AQ33" s="339"/>
      <c r="AR33" s="339">
        <f t="shared" si="4"/>
        <v>0</v>
      </c>
      <c r="AS33" s="225"/>
      <c r="AT33" s="11"/>
      <c r="AU33" s="20" t="s">
        <v>467</v>
      </c>
      <c r="AV33" s="20"/>
      <c r="AW33" s="332">
        <v>0</v>
      </c>
      <c r="AX33" s="332">
        <v>0.99370000000000003</v>
      </c>
      <c r="AY33" s="332">
        <f t="shared" si="19"/>
        <v>0.99370000000000003</v>
      </c>
      <c r="AZ33" s="20"/>
      <c r="BA33" s="20"/>
      <c r="BB33" s="20"/>
      <c r="BC33" s="20"/>
      <c r="BD33" s="221" t="e">
        <f>-SUMIF(#REF!,'pôles &amp; actions'!$C33,#REF!)/1000</f>
        <v>#REF!</v>
      </c>
      <c r="BE33" s="221" t="e">
        <f>SUMIF(#REF!,'pôles &amp; actions'!$C33,#REF!)/1000</f>
        <v>#REF!</v>
      </c>
      <c r="BF33" s="221" t="e">
        <f t="shared" si="7"/>
        <v>#REF!</v>
      </c>
      <c r="BG33" s="221" t="e">
        <f t="shared" si="3"/>
        <v>#REF!</v>
      </c>
      <c r="BK33" s="345">
        <v>-0.6</v>
      </c>
      <c r="BL33" s="345">
        <v>0.5</v>
      </c>
      <c r="BM33" s="345">
        <f t="shared" si="20"/>
        <v>-9.9999999999999978E-2</v>
      </c>
      <c r="BN33" s="225"/>
    </row>
    <row r="34" spans="1:66" ht="15" customHeight="1" outlineLevel="2" x14ac:dyDescent="0.25">
      <c r="A34" s="324">
        <v>28</v>
      </c>
      <c r="B34" s="385" t="s">
        <v>77</v>
      </c>
      <c r="C34" s="386" t="s">
        <v>78</v>
      </c>
      <c r="D34" s="37"/>
      <c r="E34" s="37"/>
      <c r="F34" s="37"/>
      <c r="G34" s="38"/>
      <c r="H34" s="39"/>
      <c r="I34" s="37">
        <v>0</v>
      </c>
      <c r="J34" s="37">
        <v>8.1999999999999993</v>
      </c>
      <c r="K34" s="37">
        <f t="shared" si="22"/>
        <v>8.1999999999999993</v>
      </c>
      <c r="L34" s="38"/>
      <c r="M34" s="38"/>
      <c r="N34" s="37" t="e">
        <f>-SUMIF(#REF!,$C34,#REF!)/1000</f>
        <v>#REF!</v>
      </c>
      <c r="O34" s="37" t="e">
        <f>SUMIF(#REF!,$C34,#REF!)/1000</f>
        <v>#REF!</v>
      </c>
      <c r="P34" s="37" t="e">
        <f t="shared" si="17"/>
        <v>#REF!</v>
      </c>
      <c r="Q34" s="39"/>
      <c r="R34" s="157">
        <v>0</v>
      </c>
      <c r="S34" s="157">
        <v>0</v>
      </c>
      <c r="T34" s="157">
        <f t="shared" si="18"/>
        <v>0</v>
      </c>
      <c r="U34" s="37"/>
      <c r="V34" s="407">
        <v>-5.5242700000000005</v>
      </c>
      <c r="W34" s="407">
        <v>0</v>
      </c>
      <c r="X34" s="407">
        <f t="shared" si="23"/>
        <v>-5.5242700000000005</v>
      </c>
      <c r="Y34" s="46"/>
      <c r="Z34" s="46"/>
      <c r="AA34" s="39"/>
      <c r="AB34" s="248">
        <v>-1</v>
      </c>
      <c r="AC34" s="248"/>
      <c r="AD34" s="248">
        <f t="shared" si="24"/>
        <v>-1</v>
      </c>
      <c r="AE34" s="193"/>
      <c r="AF34" s="199"/>
      <c r="AG34" s="194"/>
      <c r="AH34" s="195"/>
      <c r="AI34" s="148">
        <v>-3.0810200000000001</v>
      </c>
      <c r="AJ34" s="148">
        <v>1.5334700000000001</v>
      </c>
      <c r="AK34" s="148">
        <v>-1.54755</v>
      </c>
      <c r="AL34" s="20"/>
      <c r="AM34" s="20"/>
      <c r="AN34" s="20"/>
      <c r="AO34" s="20"/>
      <c r="AP34" s="339"/>
      <c r="AQ34" s="339"/>
      <c r="AR34" s="339">
        <f t="shared" si="4"/>
        <v>0</v>
      </c>
      <c r="AS34" s="225"/>
      <c r="AT34" s="11"/>
      <c r="AU34" s="20"/>
      <c r="AV34" s="20"/>
      <c r="AW34" s="332">
        <v>-6.6803599999999994</v>
      </c>
      <c r="AX34" s="332">
        <v>6.6803599999999994</v>
      </c>
      <c r="AY34" s="332">
        <f t="shared" si="19"/>
        <v>0</v>
      </c>
      <c r="AZ34" s="20"/>
      <c r="BA34" s="20"/>
      <c r="BB34" s="20"/>
      <c r="BC34" s="20"/>
      <c r="BD34" s="221" t="e">
        <f>-SUMIF(#REF!,'pôles &amp; actions'!$C34,#REF!)/1000</f>
        <v>#REF!</v>
      </c>
      <c r="BE34" s="221" t="e">
        <f>SUMIF(#REF!,'pôles &amp; actions'!$C34,#REF!)/1000</f>
        <v>#REF!</v>
      </c>
      <c r="BF34" s="221" t="e">
        <f t="shared" si="7"/>
        <v>#REF!</v>
      </c>
      <c r="BG34" s="221" t="e">
        <f t="shared" si="3"/>
        <v>#REF!</v>
      </c>
      <c r="BK34" s="345"/>
      <c r="BL34" s="345"/>
      <c r="BM34" s="345">
        <f t="shared" si="20"/>
        <v>0</v>
      </c>
      <c r="BN34" s="225"/>
    </row>
    <row r="35" spans="1:66" ht="15" customHeight="1" outlineLevel="2" thickBot="1" x14ac:dyDescent="0.3">
      <c r="A35" s="324">
        <v>29</v>
      </c>
      <c r="B35" s="385" t="s">
        <v>45</v>
      </c>
      <c r="C35" s="386" t="s">
        <v>79</v>
      </c>
      <c r="D35" s="37"/>
      <c r="E35" s="37"/>
      <c r="F35" s="37"/>
      <c r="G35" s="38"/>
      <c r="H35" s="39"/>
      <c r="I35" s="37">
        <v>0</v>
      </c>
      <c r="J35" s="37">
        <v>0</v>
      </c>
      <c r="K35" s="37">
        <f t="shared" si="22"/>
        <v>0</v>
      </c>
      <c r="L35" s="38"/>
      <c r="M35" s="38"/>
      <c r="N35" s="37" t="e">
        <f>-SUMIF(#REF!,$C35,#REF!)/1000</f>
        <v>#REF!</v>
      </c>
      <c r="O35" s="37" t="e">
        <f>SUMIF(#REF!,$C35,#REF!)/1000</f>
        <v>#REF!</v>
      </c>
      <c r="P35" s="37" t="e">
        <f t="shared" si="17"/>
        <v>#REF!</v>
      </c>
      <c r="Q35" s="39"/>
      <c r="R35" s="157">
        <v>-0.5</v>
      </c>
      <c r="S35" s="157"/>
      <c r="T35" s="157">
        <f t="shared" si="18"/>
        <v>-0.5</v>
      </c>
      <c r="U35" s="37"/>
      <c r="V35" s="407">
        <v>-0.51612000000000002</v>
      </c>
      <c r="W35" s="407">
        <v>0</v>
      </c>
      <c r="X35" s="407">
        <f t="shared" si="23"/>
        <v>-0.51612000000000002</v>
      </c>
      <c r="Y35" s="46"/>
      <c r="Z35" s="46"/>
      <c r="AA35" s="39"/>
      <c r="AB35" s="248">
        <v>-0.496</v>
      </c>
      <c r="AC35" s="248"/>
      <c r="AD35" s="248">
        <f t="shared" si="24"/>
        <v>-0.496</v>
      </c>
      <c r="AE35" s="201"/>
      <c r="AF35" s="199"/>
      <c r="AG35" s="194"/>
      <c r="AH35" s="195"/>
      <c r="AI35" s="148">
        <v>-0.49604999999999999</v>
      </c>
      <c r="AJ35" s="148">
        <v>0</v>
      </c>
      <c r="AK35" s="148">
        <v>-0.49604999999999999</v>
      </c>
      <c r="AL35" s="20"/>
      <c r="AM35" s="20"/>
      <c r="AN35" s="20"/>
      <c r="AO35" s="20"/>
      <c r="AP35" s="339"/>
      <c r="AQ35" s="339"/>
      <c r="AR35" s="339">
        <f t="shared" si="4"/>
        <v>0</v>
      </c>
      <c r="AS35" s="225"/>
      <c r="AT35" s="11"/>
      <c r="AU35" s="20"/>
      <c r="AV35" s="20"/>
      <c r="AW35" s="332">
        <v>0</v>
      </c>
      <c r="AX35" s="332">
        <v>0</v>
      </c>
      <c r="AY35" s="332">
        <f t="shared" si="19"/>
        <v>0</v>
      </c>
      <c r="AZ35" s="20"/>
      <c r="BA35" s="20"/>
      <c r="BB35" s="20"/>
      <c r="BC35" s="20"/>
      <c r="BD35" s="221" t="e">
        <f>-SUMIF(#REF!,'pôles &amp; actions'!$C35,#REF!)/1000</f>
        <v>#REF!</v>
      </c>
      <c r="BE35" s="221" t="e">
        <f>SUMIF(#REF!,'pôles &amp; actions'!$C35,#REF!)/1000</f>
        <v>#REF!</v>
      </c>
      <c r="BF35" s="221" t="e">
        <f t="shared" si="7"/>
        <v>#REF!</v>
      </c>
      <c r="BG35" s="221" t="e">
        <f t="shared" si="3"/>
        <v>#REF!</v>
      </c>
      <c r="BK35" s="345"/>
      <c r="BL35" s="345"/>
      <c r="BM35" s="345">
        <f t="shared" si="20"/>
        <v>0</v>
      </c>
      <c r="BN35" s="225"/>
    </row>
    <row r="36" spans="1:66" ht="15" customHeight="1" outlineLevel="1" thickBot="1" x14ac:dyDescent="0.3">
      <c r="A36" s="324">
        <v>30</v>
      </c>
      <c r="B36" s="392" t="s">
        <v>80</v>
      </c>
      <c r="C36" s="393"/>
      <c r="D36" s="41">
        <f>SUM(D26:D34)</f>
        <v>-61.5</v>
      </c>
      <c r="E36" s="41">
        <f>SUM(E26:E34)</f>
        <v>38.4</v>
      </c>
      <c r="F36" s="41">
        <f>SUM(D36:E36)</f>
        <v>-23.1</v>
      </c>
      <c r="G36" s="38"/>
      <c r="H36" s="39"/>
      <c r="I36" s="41">
        <f>SUM(I26:I35)</f>
        <v>-41.81</v>
      </c>
      <c r="J36" s="41">
        <f>SUM(J26:J35)</f>
        <v>31.599999999999998</v>
      </c>
      <c r="K36" s="41">
        <f>SUM(I36:J36)</f>
        <v>-10.210000000000004</v>
      </c>
      <c r="L36" s="38"/>
      <c r="M36" s="38"/>
      <c r="N36" s="41" t="e">
        <f>SUM(N26:N35)</f>
        <v>#REF!</v>
      </c>
      <c r="O36" s="41" t="e">
        <f>SUM(O26:O35)</f>
        <v>#REF!</v>
      </c>
      <c r="P36" s="41" t="e">
        <f>SUM(P26:P35)</f>
        <v>#REF!</v>
      </c>
      <c r="Q36" s="39"/>
      <c r="R36" s="158">
        <f>SUM(R26:R35)</f>
        <v>-52.349999999999994</v>
      </c>
      <c r="S36" s="158">
        <f>SUM(S26:S35)</f>
        <v>22.5</v>
      </c>
      <c r="T36" s="158">
        <f>SUM(T26:T35)</f>
        <v>-29.85</v>
      </c>
      <c r="U36" s="41"/>
      <c r="V36" s="408">
        <f>SUM(V26:V35)</f>
        <v>-29.160750000000004</v>
      </c>
      <c r="W36" s="408">
        <f>SUM(W26:W35)</f>
        <v>12.94614</v>
      </c>
      <c r="X36" s="408">
        <f>SUM(V36:W36)</f>
        <v>-16.214610000000004</v>
      </c>
      <c r="Y36" s="80"/>
      <c r="Z36" s="80">
        <f>SUM(Z26:Z35)</f>
        <v>0</v>
      </c>
      <c r="AA36" s="39"/>
      <c r="AB36" s="249">
        <f>SUM(AB26:AB35)</f>
        <v>-32.696000000000005</v>
      </c>
      <c r="AC36" s="249">
        <f>SUM(AC26:AC35)</f>
        <v>14.3</v>
      </c>
      <c r="AD36" s="249">
        <f>SUM(AD26:AD35)</f>
        <v>-18.395999999999997</v>
      </c>
      <c r="AE36" s="193"/>
      <c r="AF36" s="199"/>
      <c r="AG36" s="194"/>
      <c r="AH36" s="195"/>
      <c r="AI36" s="149">
        <f>SUM(AI26:AI35)</f>
        <v>-31.925709999999995</v>
      </c>
      <c r="AJ36" s="149">
        <f>SUM(AJ26:AJ35)</f>
        <v>22.885829999999999</v>
      </c>
      <c r="AK36" s="149">
        <f>AJ36+AI36</f>
        <v>-9.0398799999999966</v>
      </c>
      <c r="AL36" s="20"/>
      <c r="AM36" s="20"/>
      <c r="AN36" s="20"/>
      <c r="AO36" s="20"/>
      <c r="AP36" s="418">
        <f>SUM(AP26:AP35)</f>
        <v>-39</v>
      </c>
      <c r="AQ36" s="418">
        <f>SUM(AQ26:AQ35)</f>
        <v>14.6</v>
      </c>
      <c r="AR36" s="418">
        <f t="shared" si="4"/>
        <v>-24.4</v>
      </c>
      <c r="AS36" s="225"/>
      <c r="AT36" s="270">
        <f>SUM(AT26:AT35)</f>
        <v>33.299999999999997</v>
      </c>
      <c r="AU36" s="20"/>
      <c r="AV36" s="20"/>
      <c r="AW36" s="333">
        <f>SUM(AW26:AW35)</f>
        <v>-50.016159999999999</v>
      </c>
      <c r="AX36" s="333">
        <f>SUM(AX26:AX35)</f>
        <v>40.750420000000005</v>
      </c>
      <c r="AY36" s="333">
        <f t="shared" si="19"/>
        <v>-9.2657399999999939</v>
      </c>
      <c r="AZ36" s="20"/>
      <c r="BA36" s="20"/>
      <c r="BB36" s="20"/>
      <c r="BC36" s="20"/>
      <c r="BD36" s="227" t="e">
        <f>SUM(BD26:BD35)</f>
        <v>#REF!</v>
      </c>
      <c r="BE36" s="227" t="e">
        <f>SUM(BE26:BE35)</f>
        <v>#REF!</v>
      </c>
      <c r="BF36" s="227" t="e">
        <f>SUM(BF26:BF35)</f>
        <v>#REF!</v>
      </c>
      <c r="BG36" s="221" t="e">
        <f t="shared" si="3"/>
        <v>#REF!</v>
      </c>
      <c r="BK36" s="436">
        <f>SUM(BK26:BK35)</f>
        <v>-49.4</v>
      </c>
      <c r="BL36" s="436">
        <f>SUM(BL26:BL35)</f>
        <v>23.5</v>
      </c>
      <c r="BM36" s="436">
        <f t="shared" si="20"/>
        <v>-25.9</v>
      </c>
      <c r="BN36" s="225"/>
    </row>
    <row r="37" spans="1:66" ht="15" customHeight="1" outlineLevel="2" x14ac:dyDescent="0.25">
      <c r="A37" s="324">
        <v>31</v>
      </c>
      <c r="B37" s="385" t="s">
        <v>47</v>
      </c>
      <c r="C37" s="386" t="s">
        <v>81</v>
      </c>
      <c r="D37" s="37">
        <v>-1</v>
      </c>
      <c r="E37" s="37">
        <v>0.5</v>
      </c>
      <c r="F37" s="37">
        <f>SUM(D37:E37)</f>
        <v>-0.5</v>
      </c>
      <c r="G37" s="38"/>
      <c r="H37" s="39"/>
      <c r="I37" s="37">
        <v>-3.9</v>
      </c>
      <c r="J37" s="37">
        <v>2.94</v>
      </c>
      <c r="K37" s="37">
        <f>SUM(I37:J37)</f>
        <v>-0.96</v>
      </c>
      <c r="L37" s="38"/>
      <c r="M37" s="38"/>
      <c r="N37" s="37" t="e">
        <f>-SUMIF(#REF!,$C37,#REF!)/1000</f>
        <v>#REF!</v>
      </c>
      <c r="O37" s="37" t="e">
        <f>SUMIF(#REF!,$C37,#REF!)/1000</f>
        <v>#REF!</v>
      </c>
      <c r="P37" s="37" t="e">
        <f t="shared" ref="P37:P45" si="25">N37+O37</f>
        <v>#REF!</v>
      </c>
      <c r="Q37" s="39"/>
      <c r="R37" s="157">
        <v>-1.4</v>
      </c>
      <c r="S37" s="157">
        <v>0.9</v>
      </c>
      <c r="T37" s="157">
        <f t="shared" ref="T37:T45" si="26">R37+S37</f>
        <v>-0.49999999999999989</v>
      </c>
      <c r="U37" s="37"/>
      <c r="V37" s="407">
        <v>-1.3711</v>
      </c>
      <c r="W37" s="407">
        <v>0.63370000000000004</v>
      </c>
      <c r="X37" s="407">
        <f>SUM(V37:W37)</f>
        <v>-0.73739999999999994</v>
      </c>
      <c r="Y37" s="46"/>
      <c r="Z37" s="131" t="s">
        <v>416</v>
      </c>
      <c r="AA37" s="39"/>
      <c r="AB37" s="248">
        <v>-21</v>
      </c>
      <c r="AC37" s="248">
        <v>20.399999999999999</v>
      </c>
      <c r="AD37" s="248">
        <f>AB37+AC37</f>
        <v>-0.60000000000000142</v>
      </c>
      <c r="AE37" s="193"/>
      <c r="AF37" s="199"/>
      <c r="AG37" s="194"/>
      <c r="AH37" s="195"/>
      <c r="AI37" s="148">
        <v>-3.9638899999999997</v>
      </c>
      <c r="AJ37" s="148">
        <v>3.7687499999999998</v>
      </c>
      <c r="AK37" s="148">
        <v>-0.19513999999999987</v>
      </c>
      <c r="AL37" s="20"/>
      <c r="AM37" s="20"/>
      <c r="AN37" s="20"/>
      <c r="AO37" s="20"/>
      <c r="AP37" s="339">
        <v>-34</v>
      </c>
      <c r="AQ37" s="339">
        <v>29.5</v>
      </c>
      <c r="AR37" s="339">
        <f t="shared" si="4"/>
        <v>-4.5</v>
      </c>
      <c r="AS37" s="225"/>
      <c r="AT37" s="263" t="s">
        <v>476</v>
      </c>
      <c r="AU37" s="20" t="s">
        <v>468</v>
      </c>
      <c r="AV37" s="20"/>
      <c r="AW37" s="332">
        <v>-9.4758999999999993</v>
      </c>
      <c r="AX37" s="332">
        <v>7.6876800000000003</v>
      </c>
      <c r="AY37" s="332">
        <f t="shared" si="19"/>
        <v>-1.788219999999999</v>
      </c>
      <c r="AZ37" s="20"/>
      <c r="BA37" s="20"/>
      <c r="BB37" s="20"/>
      <c r="BC37" s="20"/>
      <c r="BD37" s="221" t="e">
        <f>-SUMIF(#REF!,'pôles &amp; actions'!$C37,#REF!)/1000</f>
        <v>#REF!</v>
      </c>
      <c r="BE37" s="221" t="e">
        <f>SUMIF(#REF!,'pôles &amp; actions'!$C37,#REF!)/1000</f>
        <v>#REF!</v>
      </c>
      <c r="BF37" s="221" t="e">
        <f t="shared" si="7"/>
        <v>#REF!</v>
      </c>
      <c r="BG37" s="221" t="e">
        <f t="shared" ref="BG37:BG70" si="27">AR37-BF37</f>
        <v>#REF!</v>
      </c>
      <c r="BK37" s="345">
        <v>-29</v>
      </c>
      <c r="BL37" s="345">
        <v>26.5</v>
      </c>
      <c r="BM37" s="345">
        <f t="shared" si="20"/>
        <v>-2.5</v>
      </c>
      <c r="BN37" s="225"/>
    </row>
    <row r="38" spans="1:66" ht="15" customHeight="1" outlineLevel="2" x14ac:dyDescent="0.25">
      <c r="A38" s="324">
        <v>32</v>
      </c>
      <c r="B38" s="385" t="s">
        <v>49</v>
      </c>
      <c r="C38" s="386" t="s">
        <v>82</v>
      </c>
      <c r="D38" s="37">
        <v>-24.5</v>
      </c>
      <c r="E38" s="37">
        <v>16.600000000000001</v>
      </c>
      <c r="F38" s="37">
        <f t="shared" ref="F38:F43" si="28">SUM(D38:E38)</f>
        <v>-7.8999999999999986</v>
      </c>
      <c r="G38" s="38"/>
      <c r="H38" s="39"/>
      <c r="I38" s="37">
        <v>-9.56</v>
      </c>
      <c r="J38" s="37">
        <v>6.85</v>
      </c>
      <c r="K38" s="37">
        <f t="shared" ref="K38:K45" si="29">SUM(I38:J38)</f>
        <v>-2.7100000000000009</v>
      </c>
      <c r="L38" s="38"/>
      <c r="M38" s="38"/>
      <c r="N38" s="37" t="e">
        <f>-SUMIF(#REF!,$C38,#REF!)/1000</f>
        <v>#REF!</v>
      </c>
      <c r="O38" s="37" t="e">
        <f>SUMIF(#REF!,$C38,#REF!)/1000</f>
        <v>#REF!</v>
      </c>
      <c r="P38" s="37" t="e">
        <f t="shared" si="25"/>
        <v>#REF!</v>
      </c>
      <c r="Q38" s="39"/>
      <c r="R38" s="157">
        <v>-10.5</v>
      </c>
      <c r="S38" s="157">
        <v>6.5</v>
      </c>
      <c r="T38" s="157">
        <f t="shared" si="26"/>
        <v>-4</v>
      </c>
      <c r="U38" s="37"/>
      <c r="V38" s="407">
        <v>-12.160740000000001</v>
      </c>
      <c r="W38" s="407">
        <v>12.35549</v>
      </c>
      <c r="X38" s="407">
        <f t="shared" ref="X38:X45" si="30">SUM(V38:W38)</f>
        <v>0.19474999999999909</v>
      </c>
      <c r="Y38" s="46"/>
      <c r="Z38" s="131" t="s">
        <v>419</v>
      </c>
      <c r="AA38" s="39"/>
      <c r="AB38" s="248">
        <v>-15.88</v>
      </c>
      <c r="AC38" s="248">
        <v>14.2</v>
      </c>
      <c r="AD38" s="248">
        <f t="shared" ref="AD38:AD45" si="31">AB38+AC38</f>
        <v>-1.6800000000000015</v>
      </c>
      <c r="AE38" s="193"/>
      <c r="AF38" s="199">
        <v>15.9</v>
      </c>
      <c r="AG38" s="194"/>
      <c r="AH38" s="195"/>
      <c r="AI38" s="148">
        <v>-17.313510000000001</v>
      </c>
      <c r="AJ38" s="148">
        <v>18.6372</v>
      </c>
      <c r="AK38" s="148">
        <v>1.3236899999999991</v>
      </c>
      <c r="AL38" s="20"/>
      <c r="AM38" s="20"/>
      <c r="AN38" s="20"/>
      <c r="AO38" s="20"/>
      <c r="AP38" s="339">
        <v>-28.5</v>
      </c>
      <c r="AQ38" s="339">
        <v>27.3</v>
      </c>
      <c r="AR38" s="339">
        <f t="shared" si="4"/>
        <v>-1.1999999999999993</v>
      </c>
      <c r="AS38" s="225"/>
      <c r="AT38" s="269">
        <v>28.5</v>
      </c>
      <c r="AU38" s="20" t="s">
        <v>469</v>
      </c>
      <c r="AV38" s="20"/>
      <c r="AW38" s="332">
        <v>-22.76257</v>
      </c>
      <c r="AX38" s="332">
        <v>18.383330000000001</v>
      </c>
      <c r="AY38" s="332">
        <f t="shared" si="19"/>
        <v>-4.3792399999999994</v>
      </c>
      <c r="AZ38" s="20"/>
      <c r="BA38" s="20"/>
      <c r="BB38" s="20"/>
      <c r="BC38" s="20"/>
      <c r="BD38" s="221" t="e">
        <f>-SUMIF(#REF!,'pôles &amp; actions'!$C38,#REF!)/1000</f>
        <v>#REF!</v>
      </c>
      <c r="BE38" s="221" t="e">
        <f>SUMIF(#REF!,'pôles &amp; actions'!$C38,#REF!)/1000</f>
        <v>#REF!</v>
      </c>
      <c r="BF38" s="221" t="e">
        <f t="shared" si="7"/>
        <v>#REF!</v>
      </c>
      <c r="BG38" s="221" t="e">
        <f t="shared" si="27"/>
        <v>#REF!</v>
      </c>
      <c r="BK38" s="345">
        <f>-20.5-8</f>
        <v>-28.5</v>
      </c>
      <c r="BL38" s="345">
        <f>22.3+5</f>
        <v>27.3</v>
      </c>
      <c r="BM38" s="345">
        <f t="shared" si="20"/>
        <v>-1.1999999999999993</v>
      </c>
      <c r="BN38" s="225"/>
    </row>
    <row r="39" spans="1:66" ht="15" customHeight="1" outlineLevel="2" x14ac:dyDescent="0.25">
      <c r="A39" s="324">
        <v>33</v>
      </c>
      <c r="B39" s="385" t="s">
        <v>39</v>
      </c>
      <c r="C39" s="386" t="s">
        <v>83</v>
      </c>
      <c r="D39" s="37">
        <v>-0.8</v>
      </c>
      <c r="E39" s="37">
        <v>0</v>
      </c>
      <c r="F39" s="37">
        <f t="shared" si="28"/>
        <v>-0.8</v>
      </c>
      <c r="G39" s="38"/>
      <c r="H39" s="39"/>
      <c r="I39" s="37">
        <v>-0.23799999999999999</v>
      </c>
      <c r="J39" s="37">
        <v>0</v>
      </c>
      <c r="K39" s="37">
        <f t="shared" si="29"/>
        <v>-0.23799999999999999</v>
      </c>
      <c r="L39" s="38"/>
      <c r="M39" s="38"/>
      <c r="N39" s="37" t="e">
        <f>-SUMIF(#REF!,$C39,#REF!)/1000</f>
        <v>#REF!</v>
      </c>
      <c r="O39" s="37" t="e">
        <f>SUMIF(#REF!,$C39,#REF!)/1000</f>
        <v>#REF!</v>
      </c>
      <c r="P39" s="37" t="e">
        <f t="shared" si="25"/>
        <v>#REF!</v>
      </c>
      <c r="Q39" s="39"/>
      <c r="R39" s="157">
        <v>-0.5</v>
      </c>
      <c r="S39" s="157">
        <v>0</v>
      </c>
      <c r="T39" s="157">
        <f t="shared" si="26"/>
        <v>-0.5</v>
      </c>
      <c r="U39" s="37"/>
      <c r="V39" s="407">
        <v>-0.2369</v>
      </c>
      <c r="W39" s="407">
        <v>0.22490000000000002</v>
      </c>
      <c r="X39" s="407">
        <f t="shared" si="30"/>
        <v>-1.1999999999999983E-2</v>
      </c>
      <c r="Y39" s="46"/>
      <c r="Z39" s="131" t="s">
        <v>416</v>
      </c>
      <c r="AA39" s="39"/>
      <c r="AB39" s="248">
        <v>-0.6</v>
      </c>
      <c r="AC39" s="248">
        <v>0.2</v>
      </c>
      <c r="AD39" s="248">
        <f t="shared" si="31"/>
        <v>-0.39999999999999997</v>
      </c>
      <c r="AE39" s="193"/>
      <c r="AF39" s="199">
        <v>0.6</v>
      </c>
      <c r="AG39" s="194"/>
      <c r="AH39" s="195"/>
      <c r="AI39" s="148">
        <v>-4.1492899999999997</v>
      </c>
      <c r="AJ39" s="148">
        <v>4.0372899999999996</v>
      </c>
      <c r="AK39" s="148">
        <v>-0.1120000000000001</v>
      </c>
      <c r="AL39" s="20"/>
      <c r="AM39" s="20"/>
      <c r="AN39" s="20"/>
      <c r="AO39" s="20"/>
      <c r="AP39" s="339">
        <v>-3.1</v>
      </c>
      <c r="AQ39" s="339">
        <v>1.4</v>
      </c>
      <c r="AR39" s="339">
        <f t="shared" si="4"/>
        <v>-1.7000000000000002</v>
      </c>
      <c r="AS39" s="225"/>
      <c r="AT39" s="263"/>
      <c r="AU39" s="20" t="s">
        <v>471</v>
      </c>
      <c r="AV39" s="20"/>
      <c r="AW39" s="332">
        <v>-1.9152899999999997</v>
      </c>
      <c r="AX39" s="332">
        <v>0.55628</v>
      </c>
      <c r="AY39" s="332">
        <f t="shared" si="19"/>
        <v>-1.3590099999999996</v>
      </c>
      <c r="AZ39" s="20"/>
      <c r="BA39" s="20"/>
      <c r="BB39" s="20"/>
      <c r="BC39" s="20"/>
      <c r="BD39" s="221" t="e">
        <f>-SUMIF(#REF!,'pôles &amp; actions'!$C39,#REF!)/1000</f>
        <v>#REF!</v>
      </c>
      <c r="BE39" s="221" t="e">
        <f>SUMIF(#REF!,'pôles &amp; actions'!$C39,#REF!)/1000</f>
        <v>#REF!</v>
      </c>
      <c r="BF39" s="221" t="e">
        <f t="shared" si="7"/>
        <v>#REF!</v>
      </c>
      <c r="BG39" s="221" t="e">
        <f t="shared" si="27"/>
        <v>#REF!</v>
      </c>
      <c r="BK39" s="345">
        <v>-1.6</v>
      </c>
      <c r="BL39" s="345">
        <v>0.4</v>
      </c>
      <c r="BM39" s="345">
        <f t="shared" si="20"/>
        <v>-1.2000000000000002</v>
      </c>
      <c r="BN39" s="225"/>
    </row>
    <row r="40" spans="1:66" ht="15" customHeight="1" outlineLevel="2" x14ac:dyDescent="0.25">
      <c r="A40" s="324">
        <v>34</v>
      </c>
      <c r="B40" s="385" t="s">
        <v>43</v>
      </c>
      <c r="C40" s="386" t="s">
        <v>84</v>
      </c>
      <c r="D40" s="37">
        <v>-1.8</v>
      </c>
      <c r="E40" s="37">
        <v>0.75</v>
      </c>
      <c r="F40" s="37">
        <f t="shared" si="28"/>
        <v>-1.05</v>
      </c>
      <c r="G40" s="38"/>
      <c r="H40" s="39"/>
      <c r="I40" s="37">
        <v>-0.55300000000000005</v>
      </c>
      <c r="J40" s="37">
        <v>0.3</v>
      </c>
      <c r="K40" s="37">
        <f t="shared" si="29"/>
        <v>-0.25300000000000006</v>
      </c>
      <c r="L40" s="38"/>
      <c r="M40" s="38"/>
      <c r="N40" s="37" t="e">
        <f>-SUMIF(#REF!,$C40,#REF!)/1000</f>
        <v>#REF!</v>
      </c>
      <c r="O40" s="37" t="e">
        <f>SUMIF(#REF!,$C40,#REF!)/1000</f>
        <v>#REF!</v>
      </c>
      <c r="P40" s="37" t="e">
        <f t="shared" si="25"/>
        <v>#REF!</v>
      </c>
      <c r="Q40" s="39"/>
      <c r="R40" s="157">
        <v>-2.2999999999999998</v>
      </c>
      <c r="S40" s="157">
        <v>0.8</v>
      </c>
      <c r="T40" s="157">
        <f t="shared" si="26"/>
        <v>-1.4999999999999998</v>
      </c>
      <c r="U40" s="37"/>
      <c r="V40" s="407">
        <v>-0.70452000000000004</v>
      </c>
      <c r="W40" s="407">
        <v>0.64661999999999997</v>
      </c>
      <c r="X40" s="407">
        <f t="shared" si="30"/>
        <v>-5.7900000000000063E-2</v>
      </c>
      <c r="Y40" s="46"/>
      <c r="Z40" s="131" t="s">
        <v>416</v>
      </c>
      <c r="AA40" s="39"/>
      <c r="AB40" s="248">
        <v>-13</v>
      </c>
      <c r="AC40" s="248">
        <v>9.1</v>
      </c>
      <c r="AD40" s="248">
        <f t="shared" si="31"/>
        <v>-3.9000000000000004</v>
      </c>
      <c r="AE40" s="193"/>
      <c r="AF40" s="199">
        <v>13</v>
      </c>
      <c r="AG40" s="194"/>
      <c r="AH40" s="195"/>
      <c r="AI40" s="148">
        <v>0</v>
      </c>
      <c r="AJ40" s="148">
        <v>0</v>
      </c>
      <c r="AK40" s="148">
        <v>0</v>
      </c>
      <c r="AL40" s="20"/>
      <c r="AM40" s="20"/>
      <c r="AN40" s="20"/>
      <c r="AO40" s="20"/>
      <c r="AP40" s="339">
        <v>-5</v>
      </c>
      <c r="AQ40" s="339">
        <v>4</v>
      </c>
      <c r="AR40" s="339">
        <f t="shared" si="4"/>
        <v>-1</v>
      </c>
      <c r="AS40" s="225"/>
      <c r="AT40" s="268">
        <v>5</v>
      </c>
      <c r="AU40" s="20" t="s">
        <v>470</v>
      </c>
      <c r="AV40" s="20"/>
      <c r="AW40" s="332">
        <v>-0.27882000000000001</v>
      </c>
      <c r="AX40" s="332">
        <v>0.27882000000000001</v>
      </c>
      <c r="AY40" s="332">
        <f t="shared" si="19"/>
        <v>0</v>
      </c>
      <c r="AZ40" s="20"/>
      <c r="BA40" s="20"/>
      <c r="BB40" s="20"/>
      <c r="BC40" s="20"/>
      <c r="BD40" s="221" t="e">
        <f>-SUMIF(#REF!,'pôles &amp; actions'!$C40,#REF!)/1000</f>
        <v>#REF!</v>
      </c>
      <c r="BE40" s="221" t="e">
        <f>SUMIF(#REF!,'pôles &amp; actions'!$C40,#REF!)/1000</f>
        <v>#REF!</v>
      </c>
      <c r="BF40" s="221" t="e">
        <f t="shared" si="7"/>
        <v>#REF!</v>
      </c>
      <c r="BG40" s="221" t="e">
        <f t="shared" si="27"/>
        <v>#REF!</v>
      </c>
      <c r="BK40" s="345">
        <v>-5</v>
      </c>
      <c r="BL40" s="345">
        <v>4</v>
      </c>
      <c r="BM40" s="345">
        <f t="shared" si="20"/>
        <v>-1</v>
      </c>
      <c r="BN40" s="225"/>
    </row>
    <row r="41" spans="1:66" ht="15" customHeight="1" outlineLevel="2" x14ac:dyDescent="0.25">
      <c r="A41" s="324">
        <v>35</v>
      </c>
      <c r="B41" s="385" t="s">
        <v>73</v>
      </c>
      <c r="C41" s="386" t="s">
        <v>85</v>
      </c>
      <c r="D41" s="37">
        <v>0</v>
      </c>
      <c r="E41" s="37">
        <v>0</v>
      </c>
      <c r="F41" s="37">
        <f t="shared" si="28"/>
        <v>0</v>
      </c>
      <c r="G41" s="38"/>
      <c r="H41" s="39"/>
      <c r="I41" s="37">
        <v>0</v>
      </c>
      <c r="J41" s="37">
        <v>0</v>
      </c>
      <c r="K41" s="37">
        <f t="shared" si="29"/>
        <v>0</v>
      </c>
      <c r="L41" s="38"/>
      <c r="M41" s="38"/>
      <c r="N41" s="37" t="e">
        <f>-SUMIF(#REF!,$C41,#REF!)/1000</f>
        <v>#REF!</v>
      </c>
      <c r="O41" s="37" t="e">
        <f>SUMIF(#REF!,$C41,#REF!)/1000</f>
        <v>#REF!</v>
      </c>
      <c r="P41" s="37" t="e">
        <f t="shared" si="25"/>
        <v>#REF!</v>
      </c>
      <c r="Q41" s="39"/>
      <c r="R41" s="157">
        <v>-1.2</v>
      </c>
      <c r="S41" s="157">
        <v>0.6</v>
      </c>
      <c r="T41" s="157">
        <f t="shared" si="26"/>
        <v>-0.6</v>
      </c>
      <c r="U41" s="37"/>
      <c r="V41" s="407">
        <v>-4.2721</v>
      </c>
      <c r="W41" s="407">
        <v>3.8403</v>
      </c>
      <c r="X41" s="407">
        <f t="shared" si="30"/>
        <v>-0.43179999999999996</v>
      </c>
      <c r="Y41" s="46"/>
      <c r="Z41" s="46"/>
      <c r="AA41" s="39"/>
      <c r="AB41" s="248">
        <v>-1.65</v>
      </c>
      <c r="AC41" s="248">
        <v>0.65</v>
      </c>
      <c r="AD41" s="248">
        <f t="shared" si="31"/>
        <v>-0.99999999999999989</v>
      </c>
      <c r="AE41" s="193"/>
      <c r="AF41" s="199"/>
      <c r="AG41" s="194"/>
      <c r="AH41" s="195"/>
      <c r="AI41" s="148">
        <v>-4.02562</v>
      </c>
      <c r="AJ41" s="148">
        <v>3.9580000000000002</v>
      </c>
      <c r="AK41" s="148">
        <v>-6.7619999999999791E-2</v>
      </c>
      <c r="AL41" s="20"/>
      <c r="AM41" s="20"/>
      <c r="AN41" s="20"/>
      <c r="AO41" s="20"/>
      <c r="AP41" s="339">
        <v>-4.5</v>
      </c>
      <c r="AQ41" s="339">
        <v>2.8</v>
      </c>
      <c r="AR41" s="339">
        <f t="shared" si="4"/>
        <v>-1.7000000000000002</v>
      </c>
      <c r="AS41" s="225"/>
      <c r="AT41" s="20"/>
      <c r="AU41" s="20" t="s">
        <v>472</v>
      </c>
      <c r="AV41" s="20"/>
      <c r="AW41" s="332">
        <v>-8.2749599999999983</v>
      </c>
      <c r="AX41" s="332">
        <v>4.2409999999999997</v>
      </c>
      <c r="AY41" s="332">
        <f t="shared" si="19"/>
        <v>-4.0339599999999987</v>
      </c>
      <c r="AZ41" s="20"/>
      <c r="BA41" s="20"/>
      <c r="BB41" s="20"/>
      <c r="BC41" s="20"/>
      <c r="BD41" s="221" t="e">
        <f>-SUMIF(#REF!,'pôles &amp; actions'!$C41,#REF!)/1000</f>
        <v>#REF!</v>
      </c>
      <c r="BE41" s="221" t="e">
        <f>SUMIF(#REF!,'pôles &amp; actions'!$C41,#REF!)/1000</f>
        <v>#REF!</v>
      </c>
      <c r="BF41" s="221" t="e">
        <f t="shared" si="7"/>
        <v>#REF!</v>
      </c>
      <c r="BG41" s="221" t="e">
        <f t="shared" si="27"/>
        <v>#REF!</v>
      </c>
      <c r="BK41" s="345">
        <v>-1</v>
      </c>
      <c r="BL41" s="345"/>
      <c r="BM41" s="345">
        <f t="shared" si="20"/>
        <v>-1</v>
      </c>
      <c r="BN41" s="225"/>
    </row>
    <row r="42" spans="1:66" ht="15" customHeight="1" outlineLevel="2" x14ac:dyDescent="0.25">
      <c r="A42" s="324">
        <v>36</v>
      </c>
      <c r="B42" s="385" t="s">
        <v>41</v>
      </c>
      <c r="C42" s="386" t="s">
        <v>86</v>
      </c>
      <c r="D42" s="37">
        <v>0</v>
      </c>
      <c r="E42" s="37">
        <v>0</v>
      </c>
      <c r="F42" s="37">
        <f>SUM(D42:E42)</f>
        <v>0</v>
      </c>
      <c r="G42" s="38"/>
      <c r="H42" s="39"/>
      <c r="I42" s="37">
        <v>-3.4369999999999998</v>
      </c>
      <c r="J42" s="37">
        <v>0</v>
      </c>
      <c r="K42" s="37">
        <f>SUM(I42:J42)</f>
        <v>-3.4369999999999998</v>
      </c>
      <c r="L42" s="38"/>
      <c r="M42" s="38"/>
      <c r="N42" s="37" t="e">
        <f>-SUMIF(#REF!,$C42,#REF!)/1000</f>
        <v>#REF!</v>
      </c>
      <c r="O42" s="37" t="e">
        <f>SUMIF(#REF!,$C42,#REF!)/1000</f>
        <v>#REF!</v>
      </c>
      <c r="P42" s="37" t="e">
        <f>N42+O42</f>
        <v>#REF!</v>
      </c>
      <c r="Q42" s="39"/>
      <c r="R42" s="157">
        <v>-3</v>
      </c>
      <c r="S42" s="157">
        <v>0</v>
      </c>
      <c r="T42" s="157">
        <f>R42+S42</f>
        <v>-3</v>
      </c>
      <c r="U42" s="37"/>
      <c r="V42" s="407">
        <v>-2.5737999999999999</v>
      </c>
      <c r="W42" s="407">
        <v>0.45906000000000002</v>
      </c>
      <c r="X42" s="407">
        <f>SUM(V42:W42)</f>
        <v>-2.1147399999999998</v>
      </c>
      <c r="Y42" s="46"/>
      <c r="Z42" s="131" t="s">
        <v>419</v>
      </c>
      <c r="AA42" s="39"/>
      <c r="AB42" s="248">
        <v>-1</v>
      </c>
      <c r="AC42" s="248"/>
      <c r="AD42" s="248">
        <f>AB42+AC42</f>
        <v>-1</v>
      </c>
      <c r="AE42" s="193"/>
      <c r="AF42" s="199">
        <v>1</v>
      </c>
      <c r="AG42" s="194"/>
      <c r="AH42" s="195"/>
      <c r="AI42" s="148">
        <v>-2.1328</v>
      </c>
      <c r="AJ42" s="148">
        <v>0</v>
      </c>
      <c r="AK42" s="148">
        <v>-2.1328</v>
      </c>
      <c r="AL42" s="20"/>
      <c r="AM42" s="20"/>
      <c r="AN42" s="20"/>
      <c r="AO42" s="20"/>
      <c r="AP42" s="339">
        <v>-2.5</v>
      </c>
      <c r="AQ42" s="339"/>
      <c r="AR42" s="339">
        <f t="shared" si="4"/>
        <v>-2.5</v>
      </c>
      <c r="AS42" s="225"/>
      <c r="AT42" s="20"/>
      <c r="AU42" s="20" t="s">
        <v>473</v>
      </c>
      <c r="AV42" s="20"/>
      <c r="AW42" s="332">
        <v>-3.7129700000000003</v>
      </c>
      <c r="AX42" s="332">
        <v>1.62357</v>
      </c>
      <c r="AY42" s="332">
        <f t="shared" si="19"/>
        <v>-2.0894000000000004</v>
      </c>
      <c r="AZ42" s="20"/>
      <c r="BA42" s="20"/>
      <c r="BB42" s="20"/>
      <c r="BC42" s="20"/>
      <c r="BD42" s="221" t="e">
        <f>-SUMIF(#REF!,'pôles &amp; actions'!$C42,#REF!)/1000</f>
        <v>#REF!</v>
      </c>
      <c r="BE42" s="221" t="e">
        <f>SUMIF(#REF!,'pôles &amp; actions'!$C42,#REF!)/1000</f>
        <v>#REF!</v>
      </c>
      <c r="BF42" s="221" t="e">
        <f t="shared" si="7"/>
        <v>#REF!</v>
      </c>
      <c r="BG42" s="221" t="e">
        <f t="shared" si="27"/>
        <v>#REF!</v>
      </c>
      <c r="BK42" s="345">
        <v>-2.5</v>
      </c>
      <c r="BL42" s="345"/>
      <c r="BM42" s="345">
        <f t="shared" si="20"/>
        <v>-2.5</v>
      </c>
      <c r="BN42" s="225"/>
    </row>
    <row r="43" spans="1:66" ht="15" customHeight="1" outlineLevel="2" x14ac:dyDescent="0.25">
      <c r="A43" s="324">
        <v>37</v>
      </c>
      <c r="B43" s="385" t="s">
        <v>75</v>
      </c>
      <c r="C43" s="386" t="s">
        <v>87</v>
      </c>
      <c r="D43" s="37">
        <v>-7.9</v>
      </c>
      <c r="E43" s="37">
        <v>8.1999999999999993</v>
      </c>
      <c r="F43" s="37">
        <f t="shared" si="28"/>
        <v>0.29999999999999893</v>
      </c>
      <c r="G43" s="38"/>
      <c r="H43" s="39"/>
      <c r="I43" s="37">
        <v>-1.5229999999999999</v>
      </c>
      <c r="J43" s="37">
        <v>0.72599999999999998</v>
      </c>
      <c r="K43" s="37">
        <f t="shared" si="29"/>
        <v>-0.79699999999999993</v>
      </c>
      <c r="L43" s="38"/>
      <c r="M43" s="38"/>
      <c r="N43" s="37" t="e">
        <f>-SUMIF(#REF!,$C43,#REF!)/1000</f>
        <v>#REF!</v>
      </c>
      <c r="O43" s="37" t="e">
        <f>SUMIF(#REF!,$C43,#REF!)/1000</f>
        <v>#REF!</v>
      </c>
      <c r="P43" s="37" t="e">
        <f t="shared" si="25"/>
        <v>#REF!</v>
      </c>
      <c r="Q43" s="39"/>
      <c r="R43" s="157">
        <v>-2</v>
      </c>
      <c r="S43" s="157">
        <v>2.9</v>
      </c>
      <c r="T43" s="157">
        <f t="shared" si="26"/>
        <v>0.89999999999999991</v>
      </c>
      <c r="U43" s="37"/>
      <c r="V43" s="407">
        <v>-0.95338999999999996</v>
      </c>
      <c r="W43" s="407">
        <v>1.0129999999999999</v>
      </c>
      <c r="X43" s="407">
        <f t="shared" si="30"/>
        <v>5.9609999999999941E-2</v>
      </c>
      <c r="Y43" s="46"/>
      <c r="Z43" s="46"/>
      <c r="AA43" s="39"/>
      <c r="AB43" s="248">
        <v>-5.69</v>
      </c>
      <c r="AC43" s="248">
        <v>7.52</v>
      </c>
      <c r="AD43" s="248">
        <f t="shared" si="31"/>
        <v>1.8299999999999992</v>
      </c>
      <c r="AE43" s="193"/>
      <c r="AF43" s="199"/>
      <c r="AG43" s="194"/>
      <c r="AH43" s="195"/>
      <c r="AI43" s="148">
        <v>-1.64331</v>
      </c>
      <c r="AJ43" s="148">
        <v>1.44655</v>
      </c>
      <c r="AK43" s="148">
        <v>-0.19676000000000005</v>
      </c>
      <c r="AL43" s="20"/>
      <c r="AM43" s="20"/>
      <c r="AN43" s="20"/>
      <c r="AO43" s="20"/>
      <c r="AP43" s="339"/>
      <c r="AQ43" s="339">
        <v>7.75</v>
      </c>
      <c r="AR43" s="339">
        <f t="shared" si="4"/>
        <v>7.75</v>
      </c>
      <c r="AS43" s="225"/>
      <c r="AT43" s="20"/>
      <c r="AU43" s="20" t="s">
        <v>474</v>
      </c>
      <c r="AV43" s="20"/>
      <c r="AW43" s="332">
        <v>0</v>
      </c>
      <c r="AX43" s="332">
        <v>0.76239999999999997</v>
      </c>
      <c r="AY43" s="332">
        <f t="shared" si="19"/>
        <v>0.76239999999999997</v>
      </c>
      <c r="AZ43" s="20"/>
      <c r="BA43" s="20"/>
      <c r="BB43" s="20"/>
      <c r="BC43" s="20"/>
      <c r="BD43" s="221" t="e">
        <f>-SUMIF(#REF!,'pôles &amp; actions'!$C43,#REF!)/1000</f>
        <v>#REF!</v>
      </c>
      <c r="BE43" s="221" t="e">
        <f>SUMIF(#REF!,'pôles &amp; actions'!$C43,#REF!)/1000</f>
        <v>#REF!</v>
      </c>
      <c r="BF43" s="221" t="e">
        <f t="shared" si="7"/>
        <v>#REF!</v>
      </c>
      <c r="BG43" s="221" t="e">
        <f t="shared" si="27"/>
        <v>#REF!</v>
      </c>
      <c r="BK43" s="345"/>
      <c r="BL43" s="345">
        <v>3.55</v>
      </c>
      <c r="BM43" s="345">
        <f t="shared" si="20"/>
        <v>3.55</v>
      </c>
      <c r="BN43" s="225"/>
    </row>
    <row r="44" spans="1:66" ht="15" customHeight="1" outlineLevel="2" x14ac:dyDescent="0.25">
      <c r="A44" s="324">
        <v>38</v>
      </c>
      <c r="B44" s="385" t="s">
        <v>77</v>
      </c>
      <c r="C44" s="386" t="s">
        <v>88</v>
      </c>
      <c r="D44" s="37"/>
      <c r="E44" s="37"/>
      <c r="F44" s="37"/>
      <c r="G44" s="38"/>
      <c r="H44" s="39"/>
      <c r="I44" s="37">
        <v>-0.3</v>
      </c>
      <c r="J44" s="37">
        <v>0</v>
      </c>
      <c r="K44" s="37">
        <f>SUM(I44:J44)</f>
        <v>-0.3</v>
      </c>
      <c r="L44" s="38"/>
      <c r="M44" s="38"/>
      <c r="N44" s="37" t="e">
        <f>-SUMIF(#REF!,$C44,#REF!)/1000</f>
        <v>#REF!</v>
      </c>
      <c r="O44" s="37" t="e">
        <f>SUMIF(#REF!,$C44,#REF!)/1000</f>
        <v>#REF!</v>
      </c>
      <c r="P44" s="37" t="e">
        <f>N44+O44</f>
        <v>#REF!</v>
      </c>
      <c r="Q44" s="39"/>
      <c r="R44" s="157">
        <v>0</v>
      </c>
      <c r="S44" s="157">
        <v>0</v>
      </c>
      <c r="T44" s="157">
        <f>R44+S44</f>
        <v>0</v>
      </c>
      <c r="U44" s="37"/>
      <c r="V44" s="407">
        <v>0</v>
      </c>
      <c r="W44" s="407">
        <v>0</v>
      </c>
      <c r="X44" s="407">
        <f>SUM(V44:W44)</f>
        <v>0</v>
      </c>
      <c r="Y44" s="46"/>
      <c r="Z44" s="46"/>
      <c r="AA44" s="39"/>
      <c r="AB44" s="248"/>
      <c r="AC44" s="248"/>
      <c r="AD44" s="248">
        <f>AB44+AC44</f>
        <v>0</v>
      </c>
      <c r="AE44" s="193"/>
      <c r="AF44" s="199"/>
      <c r="AG44" s="194"/>
      <c r="AH44" s="195"/>
      <c r="AI44" s="148">
        <v>0</v>
      </c>
      <c r="AJ44" s="148">
        <v>0</v>
      </c>
      <c r="AK44" s="148">
        <v>0</v>
      </c>
      <c r="AL44" s="20"/>
      <c r="AM44" s="20"/>
      <c r="AN44" s="20"/>
      <c r="AO44" s="20"/>
      <c r="AP44" s="339"/>
      <c r="AQ44" s="339"/>
      <c r="AR44" s="339">
        <f t="shared" si="4"/>
        <v>0</v>
      </c>
      <c r="AS44" s="225"/>
      <c r="AT44" s="20"/>
      <c r="AU44" s="20"/>
      <c r="AV44" s="20"/>
      <c r="AW44" s="332">
        <v>0</v>
      </c>
      <c r="AX44" s="332">
        <v>0</v>
      </c>
      <c r="AY44" s="332">
        <f t="shared" si="19"/>
        <v>0</v>
      </c>
      <c r="AZ44" s="20"/>
      <c r="BA44" s="20"/>
      <c r="BB44" s="20"/>
      <c r="BC44" s="20"/>
      <c r="BD44" s="221" t="e">
        <f>-SUMIF(#REF!,'pôles &amp; actions'!$C44,#REF!)/1000</f>
        <v>#REF!</v>
      </c>
      <c r="BE44" s="221" t="e">
        <f>SUMIF(#REF!,'pôles &amp; actions'!$C44,#REF!)/1000</f>
        <v>#REF!</v>
      </c>
      <c r="BF44" s="221" t="e">
        <f t="shared" si="7"/>
        <v>#REF!</v>
      </c>
      <c r="BG44" s="221" t="e">
        <f t="shared" si="27"/>
        <v>#REF!</v>
      </c>
      <c r="BK44" s="345"/>
      <c r="BL44" s="345"/>
      <c r="BM44" s="345">
        <f t="shared" si="20"/>
        <v>0</v>
      </c>
      <c r="BN44" s="225"/>
    </row>
    <row r="45" spans="1:66" ht="15" customHeight="1" outlineLevel="2" thickBot="1" x14ac:dyDescent="0.3">
      <c r="A45" s="324">
        <v>39</v>
      </c>
      <c r="B45" s="385" t="s">
        <v>45</v>
      </c>
      <c r="C45" s="386" t="s">
        <v>89</v>
      </c>
      <c r="D45" s="37"/>
      <c r="E45" s="37"/>
      <c r="F45" s="37"/>
      <c r="G45" s="38"/>
      <c r="H45" s="39"/>
      <c r="I45" s="37">
        <v>0</v>
      </c>
      <c r="J45" s="37">
        <v>0</v>
      </c>
      <c r="K45" s="37">
        <f t="shared" si="29"/>
        <v>0</v>
      </c>
      <c r="L45" s="38"/>
      <c r="M45" s="38"/>
      <c r="N45" s="37" t="e">
        <f>-SUMIF(#REF!,$C45,#REF!)/1000</f>
        <v>#REF!</v>
      </c>
      <c r="O45" s="37" t="e">
        <f>SUMIF(#REF!,$C45,#REF!)/1000</f>
        <v>#REF!</v>
      </c>
      <c r="P45" s="37" t="e">
        <f t="shared" si="25"/>
        <v>#REF!</v>
      </c>
      <c r="Q45" s="39"/>
      <c r="R45" s="157">
        <v>0</v>
      </c>
      <c r="S45" s="157">
        <v>0</v>
      </c>
      <c r="T45" s="157">
        <f t="shared" si="26"/>
        <v>0</v>
      </c>
      <c r="U45" s="37"/>
      <c r="V45" s="407">
        <v>-9.0639999999999998E-2</v>
      </c>
      <c r="W45" s="407">
        <v>0</v>
      </c>
      <c r="X45" s="407">
        <f t="shared" si="30"/>
        <v>-9.0639999999999998E-2</v>
      </c>
      <c r="Y45" s="46"/>
      <c r="Z45" s="46"/>
      <c r="AA45" s="39"/>
      <c r="AB45" s="248">
        <v>-0.6</v>
      </c>
      <c r="AC45" s="248">
        <v>0</v>
      </c>
      <c r="AD45" s="248">
        <f t="shared" si="31"/>
        <v>-0.6</v>
      </c>
      <c r="AE45" s="193"/>
      <c r="AF45" s="199"/>
      <c r="AG45" s="194"/>
      <c r="AH45" s="195"/>
      <c r="AI45" s="148">
        <v>-0.20784</v>
      </c>
      <c r="AJ45" s="148">
        <v>0</v>
      </c>
      <c r="AK45" s="148">
        <v>-0.20784</v>
      </c>
      <c r="AL45" s="20"/>
      <c r="AM45" s="20"/>
      <c r="AN45" s="20"/>
      <c r="AO45" s="20"/>
      <c r="AP45" s="339">
        <v>-2.4</v>
      </c>
      <c r="AQ45" s="339"/>
      <c r="AR45" s="339">
        <f t="shared" si="4"/>
        <v>-2.4</v>
      </c>
      <c r="AS45" s="225"/>
      <c r="AT45" s="20"/>
      <c r="AU45" s="20" t="s">
        <v>475</v>
      </c>
      <c r="AV45" s="20"/>
      <c r="AW45" s="332">
        <v>-0.94132000000000005</v>
      </c>
      <c r="AX45" s="332">
        <v>0</v>
      </c>
      <c r="AY45" s="332">
        <f t="shared" si="19"/>
        <v>-0.94132000000000005</v>
      </c>
      <c r="AZ45" s="20"/>
      <c r="BA45" s="20"/>
      <c r="BB45" s="20"/>
      <c r="BC45" s="20"/>
      <c r="BD45" s="221" t="e">
        <f>-SUMIF(#REF!,'pôles &amp; actions'!$C45,#REF!)/1000</f>
        <v>#REF!</v>
      </c>
      <c r="BE45" s="221" t="e">
        <f>SUMIF(#REF!,'pôles &amp; actions'!$C45,#REF!)/1000</f>
        <v>#REF!</v>
      </c>
      <c r="BF45" s="221" t="e">
        <f t="shared" si="7"/>
        <v>#REF!</v>
      </c>
      <c r="BG45" s="221" t="e">
        <f t="shared" si="27"/>
        <v>#REF!</v>
      </c>
      <c r="BK45" s="345">
        <v>-3.4</v>
      </c>
      <c r="BL45" s="345"/>
      <c r="BM45" s="345">
        <f t="shared" si="20"/>
        <v>-3.4</v>
      </c>
      <c r="BN45" s="225"/>
    </row>
    <row r="46" spans="1:66" ht="15" customHeight="1" outlineLevel="1" thickBot="1" x14ac:dyDescent="0.3">
      <c r="A46" s="324">
        <v>40</v>
      </c>
      <c r="B46" s="392" t="s">
        <v>90</v>
      </c>
      <c r="C46" s="393"/>
      <c r="D46" s="41">
        <f>SUM(D37:D44)</f>
        <v>-36</v>
      </c>
      <c r="E46" s="41">
        <f>SUM(E37:E44)</f>
        <v>26.05</v>
      </c>
      <c r="F46" s="41">
        <f>SUM(D46:E46)</f>
        <v>-9.9499999999999993</v>
      </c>
      <c r="G46" s="38"/>
      <c r="H46" s="39"/>
      <c r="I46" s="41">
        <f>SUM(I37:I45)</f>
        <v>-19.511000000000003</v>
      </c>
      <c r="J46" s="41">
        <f>SUM(J37:J45)</f>
        <v>10.815999999999999</v>
      </c>
      <c r="K46" s="41">
        <f>SUM(I46:J46)</f>
        <v>-8.6950000000000038</v>
      </c>
      <c r="L46" s="38"/>
      <c r="M46" s="38"/>
      <c r="N46" s="41" t="e">
        <f>SUM(N37:N45)</f>
        <v>#REF!</v>
      </c>
      <c r="O46" s="41" t="e">
        <f>SUM(O37:O45)</f>
        <v>#REF!</v>
      </c>
      <c r="P46" s="41" t="e">
        <f>SUM(P37:P45)</f>
        <v>#REF!</v>
      </c>
      <c r="Q46" s="39"/>
      <c r="R46" s="158">
        <f>SUM(R37:R45)</f>
        <v>-20.9</v>
      </c>
      <c r="S46" s="158">
        <f>SUM(S37:S45)</f>
        <v>11.700000000000001</v>
      </c>
      <c r="T46" s="158">
        <f>SUM(T37:T45)</f>
        <v>-9.1999999999999993</v>
      </c>
      <c r="U46" s="41"/>
      <c r="V46" s="408">
        <f>SUM(V37:V45)</f>
        <v>-22.363189999999999</v>
      </c>
      <c r="W46" s="408">
        <f>SUM(W37:W45)</f>
        <v>19.173070000000003</v>
      </c>
      <c r="X46" s="408">
        <f>SUM(V46:W46)</f>
        <v>-3.1901199999999967</v>
      </c>
      <c r="Y46" s="80"/>
      <c r="Z46" s="80">
        <f>SUM(Z37:Z45)</f>
        <v>0</v>
      </c>
      <c r="AA46" s="39"/>
      <c r="AB46" s="249">
        <f>SUM(AB37:AB45)</f>
        <v>-59.42</v>
      </c>
      <c r="AC46" s="249">
        <f>SUM(AC37:AC45)</f>
        <v>52.069999999999993</v>
      </c>
      <c r="AD46" s="249">
        <f>SUM(AD37:AD45)</f>
        <v>-7.3500000000000041</v>
      </c>
      <c r="AE46" s="193"/>
      <c r="AF46" s="199"/>
      <c r="AG46" s="194"/>
      <c r="AH46" s="195"/>
      <c r="AI46" s="149">
        <f>SUM(AI37:AI45)</f>
        <v>-33.436259999999997</v>
      </c>
      <c r="AJ46" s="149">
        <f>SUM(AJ37:AJ45)</f>
        <v>31.84779</v>
      </c>
      <c r="AK46" s="149">
        <f>AJ46+AI46</f>
        <v>-1.5884699999999974</v>
      </c>
      <c r="AL46" s="81"/>
      <c r="AM46" s="81"/>
      <c r="AN46" s="81"/>
      <c r="AO46" s="81"/>
      <c r="AP46" s="418">
        <f>SUM(AP37:AP45)</f>
        <v>-80</v>
      </c>
      <c r="AQ46" s="418">
        <f>SUM(AQ37:AQ45)</f>
        <v>72.75</v>
      </c>
      <c r="AR46" s="418">
        <f t="shared" si="4"/>
        <v>-7.25</v>
      </c>
      <c r="AS46" s="226"/>
      <c r="AT46" s="270">
        <f>SUM(AT38:AT45)</f>
        <v>33.5</v>
      </c>
      <c r="AU46" s="81"/>
      <c r="AV46" s="81"/>
      <c r="AW46" s="333">
        <f>SUM(AW37:AW45)</f>
        <v>-47.361829999999998</v>
      </c>
      <c r="AX46" s="333">
        <f>SUM(AX37:AX45)</f>
        <v>33.533079999999998</v>
      </c>
      <c r="AY46" s="333">
        <f t="shared" si="19"/>
        <v>-13.828749999999999</v>
      </c>
      <c r="AZ46" s="81"/>
      <c r="BA46" s="81"/>
      <c r="BB46" s="81"/>
      <c r="BC46" s="81"/>
      <c r="BD46" s="227" t="e">
        <f>SUM(BD37:BD45)</f>
        <v>#REF!</v>
      </c>
      <c r="BE46" s="227" t="e">
        <f>SUM(BE37:BE45)</f>
        <v>#REF!</v>
      </c>
      <c r="BF46" s="227" t="e">
        <f t="shared" si="7"/>
        <v>#REF!</v>
      </c>
      <c r="BG46" s="221" t="e">
        <f t="shared" si="27"/>
        <v>#REF!</v>
      </c>
      <c r="BK46" s="436">
        <f>SUM(BK37:BK45)</f>
        <v>-71</v>
      </c>
      <c r="BL46" s="436">
        <f>SUM(BL37:BL45)</f>
        <v>61.749999999999993</v>
      </c>
      <c r="BM46" s="436">
        <f t="shared" si="20"/>
        <v>-9.2500000000000071</v>
      </c>
      <c r="BN46" s="226"/>
    </row>
    <row r="47" spans="1:66" ht="15" customHeight="1" outlineLevel="2" x14ac:dyDescent="0.25">
      <c r="A47" s="324">
        <v>41</v>
      </c>
      <c r="B47" s="385" t="s">
        <v>37</v>
      </c>
      <c r="C47" s="386" t="s">
        <v>91</v>
      </c>
      <c r="D47" s="37">
        <v>-10.1</v>
      </c>
      <c r="E47" s="37">
        <v>1.8</v>
      </c>
      <c r="F47" s="37">
        <f t="shared" ref="F47:F56" si="32">SUM(D47:E47)</f>
        <v>-8.2999999999999989</v>
      </c>
      <c r="G47" s="38"/>
      <c r="H47" s="39"/>
      <c r="I47" s="37">
        <v>-5.7</v>
      </c>
      <c r="J47" s="37">
        <v>0.3</v>
      </c>
      <c r="K47" s="37">
        <f>SUM(I47:J47)</f>
        <v>-5.4</v>
      </c>
      <c r="L47" s="38"/>
      <c r="M47" s="38"/>
      <c r="N47" s="37" t="e">
        <f>-SUMIF(#REF!,$C47,#REF!)/1000</f>
        <v>#REF!</v>
      </c>
      <c r="O47" s="37" t="e">
        <f>SUMIF(#REF!,$C47,#REF!)/1000</f>
        <v>#REF!</v>
      </c>
      <c r="P47" s="37" t="e">
        <f t="shared" ref="P47:P55" si="33">N47+O47</f>
        <v>#REF!</v>
      </c>
      <c r="Q47" s="39"/>
      <c r="R47" s="157">
        <v>-6.2</v>
      </c>
      <c r="S47" s="157">
        <v>1.5</v>
      </c>
      <c r="T47" s="157">
        <f t="shared" ref="T47:T55" si="34">R47+S47</f>
        <v>-4.7</v>
      </c>
      <c r="U47" s="37"/>
      <c r="V47" s="407">
        <v>-1.6436399999999998</v>
      </c>
      <c r="W47" s="407">
        <v>0.1527</v>
      </c>
      <c r="X47" s="407">
        <f>SUM(V47:W47)</f>
        <v>-1.4909399999999997</v>
      </c>
      <c r="Y47" s="46"/>
      <c r="Z47" s="131" t="s">
        <v>416</v>
      </c>
      <c r="AA47" s="39"/>
      <c r="AB47" s="248">
        <f>-6.5+1</f>
        <v>-5.5</v>
      </c>
      <c r="AC47" s="248">
        <v>5.7</v>
      </c>
      <c r="AD47" s="248">
        <f>AB47+AC47</f>
        <v>0.20000000000000018</v>
      </c>
      <c r="AE47" s="40"/>
      <c r="AG47" s="200" t="s">
        <v>398</v>
      </c>
      <c r="AH47" s="195"/>
      <c r="AI47" s="148">
        <v>-2.0116299999999998</v>
      </c>
      <c r="AJ47" s="148">
        <v>0.40233999999999998</v>
      </c>
      <c r="AK47" s="148">
        <v>-1.6092899999999999</v>
      </c>
      <c r="AL47" s="20"/>
      <c r="AM47" s="20"/>
      <c r="AN47" s="20"/>
      <c r="AO47" s="20"/>
      <c r="AP47" s="339">
        <v>-8.5</v>
      </c>
      <c r="AQ47" s="339">
        <v>7.5</v>
      </c>
      <c r="AR47" s="339">
        <f t="shared" si="4"/>
        <v>-1</v>
      </c>
      <c r="AS47" s="225"/>
      <c r="AT47" s="20"/>
      <c r="AU47" s="20" t="s">
        <v>486</v>
      </c>
      <c r="AV47" s="20"/>
      <c r="AW47" s="332">
        <v>-0.84335000000000004</v>
      </c>
      <c r="AX47" s="332">
        <v>0</v>
      </c>
      <c r="AY47" s="332">
        <f t="shared" si="19"/>
        <v>-0.84335000000000004</v>
      </c>
      <c r="AZ47" s="20"/>
      <c r="BA47" s="20"/>
      <c r="BB47" s="20"/>
      <c r="BC47" s="20"/>
      <c r="BD47" s="221" t="e">
        <f>-SUMIF(#REF!,'pôles &amp; actions'!$C47,#REF!)/1000</f>
        <v>#REF!</v>
      </c>
      <c r="BE47" s="221" t="e">
        <f>SUMIF(#REF!,'pôles &amp; actions'!$C47,#REF!)/1000</f>
        <v>#REF!</v>
      </c>
      <c r="BF47" s="221" t="e">
        <f t="shared" si="7"/>
        <v>#REF!</v>
      </c>
      <c r="BG47" s="221" t="e">
        <f t="shared" si="27"/>
        <v>#REF!</v>
      </c>
      <c r="BK47" s="345">
        <v>-1.5</v>
      </c>
      <c r="BL47" s="345"/>
      <c r="BM47" s="345">
        <f t="shared" si="20"/>
        <v>-1.5</v>
      </c>
      <c r="BN47" s="225"/>
    </row>
    <row r="48" spans="1:66" ht="15" customHeight="1" outlineLevel="2" x14ac:dyDescent="0.25">
      <c r="A48" s="324">
        <v>42</v>
      </c>
      <c r="B48" s="385" t="s">
        <v>66</v>
      </c>
      <c r="C48" s="386" t="s">
        <v>92</v>
      </c>
      <c r="D48" s="37">
        <v>-23.6</v>
      </c>
      <c r="E48" s="37">
        <v>14.2</v>
      </c>
      <c r="F48" s="37">
        <f t="shared" si="32"/>
        <v>-9.4000000000000021</v>
      </c>
      <c r="G48" s="38"/>
      <c r="H48" s="39"/>
      <c r="I48" s="37">
        <v>-19.940000000000001</v>
      </c>
      <c r="J48" s="37">
        <v>19.600000000000001</v>
      </c>
      <c r="K48" s="37">
        <f t="shared" ref="K48:K55" si="35">SUM(I48:J48)</f>
        <v>-0.33999999999999986</v>
      </c>
      <c r="L48" s="38"/>
      <c r="M48" s="38"/>
      <c r="N48" s="37" t="e">
        <f>-SUMIF(#REF!,$C48,#REF!)/1000</f>
        <v>#REF!</v>
      </c>
      <c r="O48" s="37" t="e">
        <f>SUMIF(#REF!,$C48,#REF!)/1000</f>
        <v>#REF!</v>
      </c>
      <c r="P48" s="37" t="e">
        <f t="shared" si="33"/>
        <v>#REF!</v>
      </c>
      <c r="Q48" s="39"/>
      <c r="R48" s="157">
        <v>-38.299999999999997</v>
      </c>
      <c r="S48" s="157">
        <v>26.2</v>
      </c>
      <c r="T48" s="157">
        <f t="shared" si="34"/>
        <v>-12.099999999999998</v>
      </c>
      <c r="U48" s="37"/>
      <c r="V48" s="407">
        <v>-1.60178</v>
      </c>
      <c r="W48" s="407">
        <v>0</v>
      </c>
      <c r="X48" s="407">
        <f t="shared" ref="X48:X55" si="36">SUM(V48:W48)</f>
        <v>-1.60178</v>
      </c>
      <c r="Y48" s="46"/>
      <c r="Z48" s="131" t="s">
        <v>419</v>
      </c>
      <c r="AA48" s="39"/>
      <c r="AB48" s="248">
        <v>-37</v>
      </c>
      <c r="AC48" s="248">
        <v>28.3</v>
      </c>
      <c r="AD48" s="248">
        <f t="shared" ref="AD48:AD55" si="37">AB48+AC48</f>
        <v>-8.6999999999999993</v>
      </c>
      <c r="AE48" s="40"/>
      <c r="AF48" s="199"/>
      <c r="AG48" s="194"/>
      <c r="AH48" s="195"/>
      <c r="AI48" s="148">
        <v>-14.959599999999998</v>
      </c>
      <c r="AJ48" s="148">
        <v>10.982059999999999</v>
      </c>
      <c r="AK48" s="148">
        <v>-3.9775399999999994</v>
      </c>
      <c r="AL48" s="20"/>
      <c r="AM48" s="20"/>
      <c r="AN48" s="20"/>
      <c r="AO48" s="20"/>
      <c r="AP48" s="339">
        <v>-65</v>
      </c>
      <c r="AQ48" s="339">
        <v>50.6</v>
      </c>
      <c r="AR48" s="339">
        <f t="shared" si="4"/>
        <v>-14.399999999999999</v>
      </c>
      <c r="AS48" s="225"/>
      <c r="AT48" s="269">
        <v>65</v>
      </c>
      <c r="AU48" s="20" t="s">
        <v>487</v>
      </c>
      <c r="AV48" s="20"/>
      <c r="AW48" s="332">
        <v>-20.110399999999998</v>
      </c>
      <c r="AX48" s="332">
        <v>16.392420000000001</v>
      </c>
      <c r="AY48" s="332">
        <f t="shared" si="19"/>
        <v>-3.7179799999999972</v>
      </c>
      <c r="AZ48" s="20"/>
      <c r="BA48" s="20"/>
      <c r="BB48" s="20"/>
      <c r="BC48" s="20"/>
      <c r="BD48" s="221" t="e">
        <f>-SUMIF(#REF!,'pôles &amp; actions'!$C48,#REF!)/1000</f>
        <v>#REF!</v>
      </c>
      <c r="BE48" s="221" t="e">
        <f>SUMIF(#REF!,'pôles &amp; actions'!$C48,#REF!)/1000</f>
        <v>#REF!</v>
      </c>
      <c r="BF48" s="221" t="e">
        <f t="shared" si="7"/>
        <v>#REF!</v>
      </c>
      <c r="BG48" s="221" t="e">
        <f t="shared" si="27"/>
        <v>#REF!</v>
      </c>
      <c r="BK48" s="345">
        <f>-50.87-5.3</f>
        <v>-56.169999999999995</v>
      </c>
      <c r="BL48" s="345">
        <f>44.265+2.16</f>
        <v>46.424999999999997</v>
      </c>
      <c r="BM48" s="345">
        <f t="shared" si="20"/>
        <v>-9.7449999999999974</v>
      </c>
      <c r="BN48" s="225"/>
    </row>
    <row r="49" spans="1:66" ht="15" customHeight="1" outlineLevel="2" x14ac:dyDescent="0.25">
      <c r="A49" s="324">
        <v>43</v>
      </c>
      <c r="B49" s="385" t="s">
        <v>39</v>
      </c>
      <c r="C49" s="386" t="s">
        <v>93</v>
      </c>
      <c r="D49" s="37">
        <v>-3</v>
      </c>
      <c r="E49" s="37"/>
      <c r="F49" s="37">
        <f t="shared" si="32"/>
        <v>-3</v>
      </c>
      <c r="G49" s="38"/>
      <c r="H49" s="39"/>
      <c r="I49" s="37">
        <v>-0.14799999999999999</v>
      </c>
      <c r="J49" s="37">
        <v>0</v>
      </c>
      <c r="K49" s="37">
        <f t="shared" si="35"/>
        <v>-0.14799999999999999</v>
      </c>
      <c r="L49" s="38"/>
      <c r="M49" s="38"/>
      <c r="N49" s="37" t="e">
        <f>-SUMIF(#REF!,$C49,#REF!)/1000</f>
        <v>#REF!</v>
      </c>
      <c r="O49" s="37" t="e">
        <f>SUMIF(#REF!,$C49,#REF!)/1000</f>
        <v>#REF!</v>
      </c>
      <c r="P49" s="37" t="e">
        <f t="shared" si="33"/>
        <v>#REF!</v>
      </c>
      <c r="Q49" s="39"/>
      <c r="R49" s="157">
        <v>-1.6</v>
      </c>
      <c r="S49" s="157">
        <v>0</v>
      </c>
      <c r="T49" s="157">
        <f t="shared" si="34"/>
        <v>-1.6</v>
      </c>
      <c r="U49" s="37"/>
      <c r="V49" s="407">
        <v>-0.30230000000000001</v>
      </c>
      <c r="W49" s="407">
        <v>0</v>
      </c>
      <c r="X49" s="407">
        <f t="shared" si="36"/>
        <v>-0.30230000000000001</v>
      </c>
      <c r="Y49" s="46"/>
      <c r="Z49" s="131" t="s">
        <v>416</v>
      </c>
      <c r="AA49" s="39"/>
      <c r="AB49" s="248">
        <v>-0.6</v>
      </c>
      <c r="AC49" s="248"/>
      <c r="AD49" s="248">
        <f t="shared" si="37"/>
        <v>-0.6</v>
      </c>
      <c r="AE49" s="40"/>
      <c r="AF49" s="199"/>
      <c r="AG49" s="194"/>
      <c r="AH49" s="195"/>
      <c r="AI49" s="148">
        <v>-0.26671</v>
      </c>
      <c r="AJ49" s="148">
        <v>0</v>
      </c>
      <c r="AK49" s="148">
        <v>-0.26671</v>
      </c>
      <c r="AL49" s="20"/>
      <c r="AM49" s="20"/>
      <c r="AN49" s="20"/>
      <c r="AO49" s="20"/>
      <c r="AP49" s="339">
        <v>-0.6</v>
      </c>
      <c r="AQ49" s="339"/>
      <c r="AR49" s="339">
        <f t="shared" si="4"/>
        <v>-0.6</v>
      </c>
      <c r="AS49" s="225"/>
      <c r="AT49" s="11"/>
      <c r="AU49" s="20" t="s">
        <v>488</v>
      </c>
      <c r="AV49" s="20"/>
      <c r="AW49" s="332">
        <v>-2.4803000000000002</v>
      </c>
      <c r="AX49" s="332">
        <v>2.4E-2</v>
      </c>
      <c r="AY49" s="332">
        <f t="shared" si="19"/>
        <v>-2.4563000000000001</v>
      </c>
      <c r="AZ49" s="20"/>
      <c r="BA49" s="20"/>
      <c r="BB49" s="20"/>
      <c r="BC49" s="20"/>
      <c r="BD49" s="221" t="e">
        <f>-SUMIF(#REF!,'pôles &amp; actions'!$C49,#REF!)/1000</f>
        <v>#REF!</v>
      </c>
      <c r="BE49" s="221" t="e">
        <f>SUMIF(#REF!,'pôles &amp; actions'!$C49,#REF!)/1000</f>
        <v>#REF!</v>
      </c>
      <c r="BF49" s="221" t="e">
        <f t="shared" si="7"/>
        <v>#REF!</v>
      </c>
      <c r="BG49" s="221" t="e">
        <f t="shared" si="27"/>
        <v>#REF!</v>
      </c>
      <c r="BK49" s="345">
        <v>-0.6</v>
      </c>
      <c r="BL49" s="345"/>
      <c r="BM49" s="345">
        <f t="shared" si="20"/>
        <v>-0.6</v>
      </c>
      <c r="BN49" s="225"/>
    </row>
    <row r="50" spans="1:66" ht="15" customHeight="1" outlineLevel="2" x14ac:dyDescent="0.25">
      <c r="A50" s="324">
        <v>44</v>
      </c>
      <c r="B50" s="385" t="s">
        <v>43</v>
      </c>
      <c r="C50" s="386" t="s">
        <v>94</v>
      </c>
      <c r="D50" s="37">
        <v>-4.5</v>
      </c>
      <c r="E50" s="37"/>
      <c r="F50" s="37">
        <f t="shared" si="32"/>
        <v>-4.5</v>
      </c>
      <c r="G50" s="38"/>
      <c r="H50" s="39"/>
      <c r="I50" s="37">
        <v>-3.84</v>
      </c>
      <c r="J50" s="37">
        <v>0.15</v>
      </c>
      <c r="K50" s="37">
        <f t="shared" si="35"/>
        <v>-3.69</v>
      </c>
      <c r="L50" s="38"/>
      <c r="M50" s="38"/>
      <c r="N50" s="37" t="e">
        <f>-SUMIF(#REF!,$C50,#REF!)/1000</f>
        <v>#REF!</v>
      </c>
      <c r="O50" s="37" t="e">
        <f>SUMIF(#REF!,$C50,#REF!)/1000</f>
        <v>#REF!</v>
      </c>
      <c r="P50" s="37" t="e">
        <f t="shared" si="33"/>
        <v>#REF!</v>
      </c>
      <c r="Q50" s="39"/>
      <c r="R50" s="157">
        <v>-3.8</v>
      </c>
      <c r="S50" s="157">
        <v>0</v>
      </c>
      <c r="T50" s="157">
        <f t="shared" si="34"/>
        <v>-3.8</v>
      </c>
      <c r="U50" s="37"/>
      <c r="V50" s="407">
        <v>-4.9830100000000002</v>
      </c>
      <c r="W50" s="407">
        <v>0.78989999999999994</v>
      </c>
      <c r="X50" s="407">
        <f t="shared" si="36"/>
        <v>-4.1931099999999999</v>
      </c>
      <c r="Y50" s="46"/>
      <c r="Z50" s="131" t="s">
        <v>416</v>
      </c>
      <c r="AA50" s="39"/>
      <c r="AB50" s="248">
        <v>-3</v>
      </c>
      <c r="AC50" s="248"/>
      <c r="AD50" s="248">
        <f t="shared" si="37"/>
        <v>-3</v>
      </c>
      <c r="AE50" s="40"/>
      <c r="AF50" s="199"/>
      <c r="AG50" s="194"/>
      <c r="AH50" s="195"/>
      <c r="AI50" s="148">
        <v>-2.5444400000000003</v>
      </c>
      <c r="AJ50" s="148">
        <v>1.0023200000000001</v>
      </c>
      <c r="AK50" s="148">
        <v>-1.5421200000000002</v>
      </c>
      <c r="AL50" s="20"/>
      <c r="AM50" s="20"/>
      <c r="AN50" s="20"/>
      <c r="AO50" s="20"/>
      <c r="AP50" s="339">
        <v>-3.5</v>
      </c>
      <c r="AQ50" s="339"/>
      <c r="AR50" s="339">
        <f t="shared" si="4"/>
        <v>-3.5</v>
      </c>
      <c r="AS50" s="225"/>
      <c r="AT50" s="269">
        <v>3.5</v>
      </c>
      <c r="AU50" s="20" t="s">
        <v>489</v>
      </c>
      <c r="AV50" s="20"/>
      <c r="AW50" s="332">
        <v>-0.52249999999999996</v>
      </c>
      <c r="AX50" s="332">
        <v>0.44850000000000001</v>
      </c>
      <c r="AY50" s="332">
        <f t="shared" si="19"/>
        <v>-7.3999999999999955E-2</v>
      </c>
      <c r="AZ50" s="20"/>
      <c r="BA50" s="20"/>
      <c r="BB50" s="20"/>
      <c r="BC50" s="20"/>
      <c r="BD50" s="221" t="e">
        <f>-SUMIF(#REF!,'pôles &amp; actions'!$C50,#REF!)/1000</f>
        <v>#REF!</v>
      </c>
      <c r="BE50" s="221" t="e">
        <f>SUMIF(#REF!,'pôles &amp; actions'!$C50,#REF!)/1000</f>
        <v>#REF!</v>
      </c>
      <c r="BF50" s="221" t="e">
        <f t="shared" si="7"/>
        <v>#REF!</v>
      </c>
      <c r="BG50" s="221" t="e">
        <f t="shared" si="27"/>
        <v>#REF!</v>
      </c>
      <c r="BK50" s="345">
        <v>-4.12</v>
      </c>
      <c r="BL50" s="345"/>
      <c r="BM50" s="345">
        <f t="shared" si="20"/>
        <v>-4.12</v>
      </c>
      <c r="BN50" s="225"/>
    </row>
    <row r="51" spans="1:66" ht="15" customHeight="1" outlineLevel="2" x14ac:dyDescent="0.25">
      <c r="A51" s="324">
        <v>45</v>
      </c>
      <c r="B51" s="385" t="s">
        <v>73</v>
      </c>
      <c r="C51" s="386" t="s">
        <v>95</v>
      </c>
      <c r="D51" s="37">
        <v>-1</v>
      </c>
      <c r="E51" s="37"/>
      <c r="F51" s="37">
        <f t="shared" si="32"/>
        <v>-1</v>
      </c>
      <c r="G51" s="38"/>
      <c r="H51" s="39"/>
      <c r="I51" s="37">
        <v>-2.84</v>
      </c>
      <c r="J51" s="37">
        <v>1.85</v>
      </c>
      <c r="K51" s="37">
        <f t="shared" si="35"/>
        <v>-0.98999999999999977</v>
      </c>
      <c r="L51" s="38"/>
      <c r="M51" s="38"/>
      <c r="N51" s="37" t="e">
        <f>-SUMIF(#REF!,$C51,#REF!)/1000</f>
        <v>#REF!</v>
      </c>
      <c r="O51" s="37" t="e">
        <f>SUMIF(#REF!,$C51,#REF!)/1000</f>
        <v>#REF!</v>
      </c>
      <c r="P51" s="37" t="e">
        <f t="shared" si="33"/>
        <v>#REF!</v>
      </c>
      <c r="Q51" s="39"/>
      <c r="R51" s="157">
        <v>-0.2</v>
      </c>
      <c r="S51" s="157">
        <v>0</v>
      </c>
      <c r="T51" s="157">
        <f t="shared" si="34"/>
        <v>-0.2</v>
      </c>
      <c r="U51" s="37"/>
      <c r="V51" s="407">
        <v>0</v>
      </c>
      <c r="W51" s="407">
        <v>0</v>
      </c>
      <c r="X51" s="407">
        <f t="shared" si="36"/>
        <v>0</v>
      </c>
      <c r="Y51" s="46"/>
      <c r="Z51" s="46"/>
      <c r="AA51" s="39"/>
      <c r="AB51" s="248">
        <v>-0.8</v>
      </c>
      <c r="AC51" s="248">
        <v>0.2</v>
      </c>
      <c r="AD51" s="248">
        <f t="shared" si="37"/>
        <v>-0.60000000000000009</v>
      </c>
      <c r="AE51" s="40"/>
      <c r="AF51" s="199"/>
      <c r="AG51" s="194"/>
      <c r="AH51" s="195"/>
      <c r="AI51" s="148">
        <v>-0.09</v>
      </c>
      <c r="AJ51" s="148">
        <v>0</v>
      </c>
      <c r="AK51" s="148">
        <v>-0.09</v>
      </c>
      <c r="AL51" s="20"/>
      <c r="AM51" s="20"/>
      <c r="AN51" s="20"/>
      <c r="AO51" s="20"/>
      <c r="AP51" s="339"/>
      <c r="AQ51" s="339"/>
      <c r="AR51" s="339">
        <f t="shared" si="4"/>
        <v>0</v>
      </c>
      <c r="AS51" s="225"/>
      <c r="AT51" s="20"/>
      <c r="AU51" s="20" t="s">
        <v>490</v>
      </c>
      <c r="AV51" s="20"/>
      <c r="AW51" s="332">
        <v>0</v>
      </c>
      <c r="AX51" s="332">
        <v>0</v>
      </c>
      <c r="AY51" s="332">
        <f t="shared" si="19"/>
        <v>0</v>
      </c>
      <c r="AZ51" s="20"/>
      <c r="BA51" s="20"/>
      <c r="BB51" s="20"/>
      <c r="BC51" s="20"/>
      <c r="BD51" s="221" t="e">
        <f>-SUMIF(#REF!,'pôles &amp; actions'!$C51,#REF!)/1000</f>
        <v>#REF!</v>
      </c>
      <c r="BE51" s="221" t="e">
        <f>SUMIF(#REF!,'pôles &amp; actions'!$C51,#REF!)/1000</f>
        <v>#REF!</v>
      </c>
      <c r="BF51" s="221" t="e">
        <f t="shared" si="7"/>
        <v>#REF!</v>
      </c>
      <c r="BG51" s="221" t="e">
        <f t="shared" si="27"/>
        <v>#REF!</v>
      </c>
      <c r="BK51" s="345">
        <v>-0.5</v>
      </c>
      <c r="BL51" s="345"/>
      <c r="BM51" s="345">
        <f t="shared" si="20"/>
        <v>-0.5</v>
      </c>
      <c r="BN51" s="225"/>
    </row>
    <row r="52" spans="1:66" ht="15" customHeight="1" outlineLevel="2" x14ac:dyDescent="0.25">
      <c r="A52" s="324">
        <v>46</v>
      </c>
      <c r="B52" s="385" t="s">
        <v>41</v>
      </c>
      <c r="C52" s="386" t="s">
        <v>96</v>
      </c>
      <c r="D52" s="37">
        <v>-1.5</v>
      </c>
      <c r="E52" s="37"/>
      <c r="F52" s="37">
        <f t="shared" si="32"/>
        <v>-1.5</v>
      </c>
      <c r="G52" s="38"/>
      <c r="H52" s="39"/>
      <c r="I52" s="37">
        <v>0</v>
      </c>
      <c r="J52" s="37">
        <v>0</v>
      </c>
      <c r="K52" s="37">
        <f t="shared" si="35"/>
        <v>0</v>
      </c>
      <c r="L52" s="38"/>
      <c r="M52" s="38"/>
      <c r="N52" s="37" t="e">
        <f>-SUMIF(#REF!,$C52,#REF!)/1000</f>
        <v>#REF!</v>
      </c>
      <c r="O52" s="37" t="e">
        <f>SUMIF(#REF!,$C52,#REF!)/1000</f>
        <v>#REF!</v>
      </c>
      <c r="P52" s="37" t="e">
        <f t="shared" si="33"/>
        <v>#REF!</v>
      </c>
      <c r="Q52" s="39"/>
      <c r="R52" s="157">
        <v>-2.2999999999999998</v>
      </c>
      <c r="S52" s="157">
        <v>0</v>
      </c>
      <c r="T52" s="157">
        <f t="shared" si="34"/>
        <v>-2.2999999999999998</v>
      </c>
      <c r="U52" s="37"/>
      <c r="V52" s="407">
        <v>-0.68537999999999999</v>
      </c>
      <c r="W52" s="407">
        <v>0</v>
      </c>
      <c r="X52" s="407">
        <f t="shared" si="36"/>
        <v>-0.68537999999999999</v>
      </c>
      <c r="Y52" s="46"/>
      <c r="Z52" s="131" t="s">
        <v>419</v>
      </c>
      <c r="AA52" s="39"/>
      <c r="AB52" s="248">
        <v>-0.2</v>
      </c>
      <c r="AC52" s="248"/>
      <c r="AD52" s="248">
        <f t="shared" si="37"/>
        <v>-0.2</v>
      </c>
      <c r="AE52" s="40"/>
      <c r="AF52" s="199"/>
      <c r="AG52" s="194"/>
      <c r="AH52" s="195"/>
      <c r="AI52" s="148">
        <v>-1.7684800000000001</v>
      </c>
      <c r="AJ52" s="148">
        <v>0</v>
      </c>
      <c r="AK52" s="148">
        <v>-1.7684800000000001</v>
      </c>
      <c r="AL52" s="20"/>
      <c r="AM52" s="20"/>
      <c r="AN52" s="20"/>
      <c r="AO52" s="20"/>
      <c r="AP52" s="339">
        <v>-2</v>
      </c>
      <c r="AQ52" s="339"/>
      <c r="AR52" s="339">
        <f t="shared" si="4"/>
        <v>-2</v>
      </c>
      <c r="AS52" s="225"/>
      <c r="AT52" s="20"/>
      <c r="AU52" s="20" t="s">
        <v>529</v>
      </c>
      <c r="AV52" s="20"/>
      <c r="AW52" s="332">
        <v>-0.30893999999999999</v>
      </c>
      <c r="AX52" s="332">
        <v>0</v>
      </c>
      <c r="AY52" s="332">
        <f t="shared" si="19"/>
        <v>-0.30893999999999999</v>
      </c>
      <c r="AZ52" s="20"/>
      <c r="BA52" s="20"/>
      <c r="BB52" s="20"/>
      <c r="BC52" s="20"/>
      <c r="BD52" s="221" t="e">
        <f>-SUMIF(#REF!,'pôles &amp; actions'!$C52,#REF!)/1000</f>
        <v>#REF!</v>
      </c>
      <c r="BE52" s="221" t="e">
        <f>SUMIF(#REF!,'pôles &amp; actions'!$C52,#REF!)/1000</f>
        <v>#REF!</v>
      </c>
      <c r="BF52" s="221" t="e">
        <f t="shared" si="7"/>
        <v>#REF!</v>
      </c>
      <c r="BG52" s="221" t="e">
        <f t="shared" si="27"/>
        <v>#REF!</v>
      </c>
      <c r="BK52" s="345">
        <v>-2.1</v>
      </c>
      <c r="BL52" s="345"/>
      <c r="BM52" s="345">
        <f t="shared" si="20"/>
        <v>-2.1</v>
      </c>
      <c r="BN52" s="225"/>
    </row>
    <row r="53" spans="1:66" ht="15" customHeight="1" outlineLevel="2" x14ac:dyDescent="0.25">
      <c r="A53" s="324">
        <v>47</v>
      </c>
      <c r="B53" s="385" t="s">
        <v>75</v>
      </c>
      <c r="C53" s="386" t="s">
        <v>97</v>
      </c>
      <c r="D53" s="37">
        <v>0</v>
      </c>
      <c r="E53" s="37">
        <v>0</v>
      </c>
      <c r="F53" s="37">
        <f t="shared" si="32"/>
        <v>0</v>
      </c>
      <c r="G53" s="38"/>
      <c r="H53" s="39"/>
      <c r="I53" s="37">
        <v>-6.4</v>
      </c>
      <c r="J53" s="37">
        <v>2.35</v>
      </c>
      <c r="K53" s="37">
        <f t="shared" si="35"/>
        <v>-4.0500000000000007</v>
      </c>
      <c r="L53" s="38"/>
      <c r="M53" s="38"/>
      <c r="N53" s="37" t="e">
        <f>-SUMIF(#REF!,$C53,#REF!)/1000</f>
        <v>#REF!</v>
      </c>
      <c r="O53" s="37" t="e">
        <f>SUMIF(#REF!,$C53,#REF!)/1000</f>
        <v>#REF!</v>
      </c>
      <c r="P53" s="37" t="e">
        <f t="shared" si="33"/>
        <v>#REF!</v>
      </c>
      <c r="Q53" s="39"/>
      <c r="R53" s="157">
        <v>0</v>
      </c>
      <c r="S53" s="157">
        <v>5.55</v>
      </c>
      <c r="T53" s="157">
        <f t="shared" si="34"/>
        <v>5.55</v>
      </c>
      <c r="U53" s="37"/>
      <c r="V53" s="407">
        <v>-0.55734000000000006</v>
      </c>
      <c r="W53" s="407">
        <v>7.4740000000000002</v>
      </c>
      <c r="X53" s="407">
        <f t="shared" si="36"/>
        <v>6.9166600000000003</v>
      </c>
      <c r="Y53" s="46"/>
      <c r="Z53" s="46"/>
      <c r="AA53" s="39"/>
      <c r="AB53" s="248"/>
      <c r="AC53" s="248">
        <v>8.4</v>
      </c>
      <c r="AD53" s="248">
        <f t="shared" si="37"/>
        <v>8.4</v>
      </c>
      <c r="AE53" s="40"/>
      <c r="AF53" s="199"/>
      <c r="AG53" s="194"/>
      <c r="AH53" s="195"/>
      <c r="AI53" s="148">
        <v>0</v>
      </c>
      <c r="AJ53" s="148">
        <v>6.8940000000000001</v>
      </c>
      <c r="AK53" s="148">
        <v>6.8940000000000001</v>
      </c>
      <c r="AL53" s="20"/>
      <c r="AM53" s="20"/>
      <c r="AN53" s="20"/>
      <c r="AO53" s="20"/>
      <c r="AP53" s="339"/>
      <c r="AQ53" s="339">
        <v>2.2000000000000002</v>
      </c>
      <c r="AR53" s="339">
        <f t="shared" si="4"/>
        <v>2.2000000000000002</v>
      </c>
      <c r="AS53" s="225"/>
      <c r="AT53" s="20"/>
      <c r="AU53" s="20" t="s">
        <v>491</v>
      </c>
      <c r="AV53" s="20"/>
      <c r="AW53" s="332">
        <v>0</v>
      </c>
      <c r="AX53" s="332">
        <v>3.3090000000000002</v>
      </c>
      <c r="AY53" s="332">
        <f t="shared" si="19"/>
        <v>3.3090000000000002</v>
      </c>
      <c r="AZ53" s="20"/>
      <c r="BA53" s="20"/>
      <c r="BB53" s="20"/>
      <c r="BC53" s="20"/>
      <c r="BD53" s="221" t="e">
        <f>-SUMIF(#REF!,'pôles &amp; actions'!$C53,#REF!)/1000</f>
        <v>#REF!</v>
      </c>
      <c r="BE53" s="221" t="e">
        <f>SUMIF(#REF!,'pôles &amp; actions'!$C53,#REF!)/1000</f>
        <v>#REF!</v>
      </c>
      <c r="BF53" s="221" t="e">
        <f t="shared" si="7"/>
        <v>#REF!</v>
      </c>
      <c r="BG53" s="221" t="e">
        <f t="shared" si="27"/>
        <v>#REF!</v>
      </c>
      <c r="BK53" s="345"/>
      <c r="BL53" s="345">
        <v>1.4</v>
      </c>
      <c r="BM53" s="345">
        <f t="shared" si="20"/>
        <v>1.4</v>
      </c>
      <c r="BN53" s="225"/>
    </row>
    <row r="54" spans="1:66" ht="15" customHeight="1" outlineLevel="2" x14ac:dyDescent="0.25">
      <c r="A54" s="324">
        <v>48</v>
      </c>
      <c r="B54" s="385" t="s">
        <v>57</v>
      </c>
      <c r="C54" s="386" t="s">
        <v>98</v>
      </c>
      <c r="D54" s="37"/>
      <c r="E54" s="37"/>
      <c r="F54" s="37"/>
      <c r="G54" s="38"/>
      <c r="H54" s="39"/>
      <c r="I54" s="37">
        <v>-2.9</v>
      </c>
      <c r="J54" s="37">
        <v>4</v>
      </c>
      <c r="K54" s="37">
        <f t="shared" si="35"/>
        <v>1.1000000000000001</v>
      </c>
      <c r="L54" s="38"/>
      <c r="M54" s="38"/>
      <c r="N54" s="37" t="e">
        <f>-SUMIF(#REF!,$C54,#REF!)/1000</f>
        <v>#REF!</v>
      </c>
      <c r="O54" s="37" t="e">
        <f>SUMIF(#REF!,$C54,#REF!)/1000</f>
        <v>#REF!</v>
      </c>
      <c r="P54" s="37" t="e">
        <f t="shared" si="33"/>
        <v>#REF!</v>
      </c>
      <c r="Q54" s="39"/>
      <c r="R54" s="157">
        <v>-10.4</v>
      </c>
      <c r="S54" s="157">
        <v>0</v>
      </c>
      <c r="T54" s="157">
        <f t="shared" si="34"/>
        <v>-10.4</v>
      </c>
      <c r="U54" s="37"/>
      <c r="V54" s="407">
        <v>-13.80396</v>
      </c>
      <c r="W54" s="407">
        <v>0</v>
      </c>
      <c r="X54" s="407">
        <f t="shared" si="36"/>
        <v>-13.80396</v>
      </c>
      <c r="Y54" s="46"/>
      <c r="Z54" s="46"/>
      <c r="AA54" s="39"/>
      <c r="AB54" s="248">
        <f>-3.2-1.5</f>
        <v>-4.7</v>
      </c>
      <c r="AC54" s="248"/>
      <c r="AD54" s="248">
        <f t="shared" si="37"/>
        <v>-4.7</v>
      </c>
      <c r="AE54" s="40"/>
      <c r="AF54" s="199"/>
      <c r="AG54" s="194"/>
      <c r="AH54" s="195"/>
      <c r="AI54" s="148">
        <v>-6.1017800000000006</v>
      </c>
      <c r="AJ54" s="148">
        <v>6.6997600000000004</v>
      </c>
      <c r="AK54" s="148">
        <v>0.59797999999999973</v>
      </c>
      <c r="AL54" s="20"/>
      <c r="AM54" s="20"/>
      <c r="AN54" s="20"/>
      <c r="AO54" s="20"/>
      <c r="AP54" s="339">
        <v>-3.6</v>
      </c>
      <c r="AQ54" s="339"/>
      <c r="AR54" s="339">
        <f t="shared" si="4"/>
        <v>-3.6</v>
      </c>
      <c r="AS54" s="225"/>
      <c r="AT54" s="20"/>
      <c r="AU54" s="20" t="s">
        <v>476</v>
      </c>
      <c r="AV54" s="20"/>
      <c r="AW54" s="332">
        <v>-2.87948</v>
      </c>
      <c r="AX54" s="332">
        <v>0.48987999999999998</v>
      </c>
      <c r="AY54" s="332">
        <f t="shared" si="19"/>
        <v>-2.3896000000000002</v>
      </c>
      <c r="AZ54" s="20"/>
      <c r="BA54" s="20"/>
      <c r="BB54" s="20"/>
      <c r="BC54" s="20"/>
      <c r="BD54" s="221" t="e">
        <f>-SUMIF(#REF!,'pôles &amp; actions'!$C54,#REF!)/1000</f>
        <v>#REF!</v>
      </c>
      <c r="BE54" s="221" t="e">
        <f>SUMIF(#REF!,'pôles &amp; actions'!$C54,#REF!)/1000</f>
        <v>#REF!</v>
      </c>
      <c r="BF54" s="221" t="e">
        <f t="shared" si="7"/>
        <v>#REF!</v>
      </c>
      <c r="BG54" s="221" t="e">
        <f t="shared" si="27"/>
        <v>#REF!</v>
      </c>
      <c r="BK54" s="345">
        <v>-0.38</v>
      </c>
      <c r="BL54" s="345"/>
      <c r="BM54" s="345">
        <f t="shared" si="20"/>
        <v>-0.38</v>
      </c>
      <c r="BN54" s="225"/>
    </row>
    <row r="55" spans="1:66" ht="15" customHeight="1" outlineLevel="2" x14ac:dyDescent="0.25">
      <c r="A55" s="324">
        <v>49</v>
      </c>
      <c r="B55" s="385" t="s">
        <v>45</v>
      </c>
      <c r="C55" s="386" t="s">
        <v>99</v>
      </c>
      <c r="D55" s="37"/>
      <c r="E55" s="37"/>
      <c r="F55" s="37"/>
      <c r="G55" s="38"/>
      <c r="H55" s="39"/>
      <c r="I55" s="37">
        <v>0</v>
      </c>
      <c r="J55" s="37">
        <v>0</v>
      </c>
      <c r="K55" s="37">
        <f t="shared" si="35"/>
        <v>0</v>
      </c>
      <c r="L55" s="38"/>
      <c r="M55" s="38"/>
      <c r="N55" s="37" t="e">
        <f>-SUMIF(#REF!,$C55,#REF!)/1000</f>
        <v>#REF!</v>
      </c>
      <c r="O55" s="37" t="e">
        <f>SUMIF(#REF!,$C55,#REF!)/1000</f>
        <v>#REF!</v>
      </c>
      <c r="P55" s="37" t="e">
        <f t="shared" si="33"/>
        <v>#REF!</v>
      </c>
      <c r="Q55" s="39"/>
      <c r="R55" s="157">
        <v>0</v>
      </c>
      <c r="S55" s="157">
        <v>0</v>
      </c>
      <c r="T55" s="157">
        <f t="shared" si="34"/>
        <v>0</v>
      </c>
      <c r="U55" s="37"/>
      <c r="V55" s="407">
        <v>0</v>
      </c>
      <c r="W55" s="407">
        <v>0</v>
      </c>
      <c r="X55" s="407">
        <f t="shared" si="36"/>
        <v>0</v>
      </c>
      <c r="Y55" s="46"/>
      <c r="Z55" s="46"/>
      <c r="AA55" s="39"/>
      <c r="AB55" s="248">
        <v>-0.5</v>
      </c>
      <c r="AC55" s="248"/>
      <c r="AD55" s="248">
        <f t="shared" si="37"/>
        <v>-0.5</v>
      </c>
      <c r="AE55" s="40"/>
      <c r="AF55" s="199"/>
      <c r="AG55" s="194"/>
      <c r="AH55" s="195"/>
      <c r="AI55" s="148">
        <v>0</v>
      </c>
      <c r="AJ55" s="148">
        <v>0</v>
      </c>
      <c r="AK55" s="148">
        <v>0</v>
      </c>
      <c r="AL55" s="20"/>
      <c r="AM55" s="20"/>
      <c r="AN55" s="20"/>
      <c r="AO55" s="20"/>
      <c r="AP55" s="339"/>
      <c r="AQ55" s="339"/>
      <c r="AR55" s="339">
        <f t="shared" si="4"/>
        <v>0</v>
      </c>
      <c r="AS55" s="225"/>
      <c r="AT55" s="20"/>
      <c r="AU55" s="20"/>
      <c r="AV55" s="20"/>
      <c r="AW55" s="332">
        <v>0</v>
      </c>
      <c r="AX55" s="332">
        <v>0</v>
      </c>
      <c r="AY55" s="332">
        <f t="shared" si="19"/>
        <v>0</v>
      </c>
      <c r="AZ55" s="20"/>
      <c r="BA55" s="20"/>
      <c r="BB55" s="20"/>
      <c r="BC55" s="20"/>
      <c r="BD55" s="221" t="e">
        <f>-SUMIF(#REF!,'pôles &amp; actions'!$C55,#REF!)/1000</f>
        <v>#REF!</v>
      </c>
      <c r="BE55" s="221" t="e">
        <f>SUMIF(#REF!,'pôles &amp; actions'!$C55,#REF!)/1000</f>
        <v>#REF!</v>
      </c>
      <c r="BF55" s="221" t="e">
        <f t="shared" si="7"/>
        <v>#REF!</v>
      </c>
      <c r="BG55" s="221" t="e">
        <f t="shared" si="27"/>
        <v>#REF!</v>
      </c>
      <c r="BK55" s="345"/>
      <c r="BL55" s="345"/>
      <c r="BM55" s="345">
        <f t="shared" si="20"/>
        <v>0</v>
      </c>
      <c r="BN55" s="225"/>
    </row>
    <row r="56" spans="1:66" ht="15" customHeight="1" outlineLevel="1" x14ac:dyDescent="0.25">
      <c r="A56" s="324">
        <v>50</v>
      </c>
      <c r="B56" s="392" t="s">
        <v>100</v>
      </c>
      <c r="C56" s="393"/>
      <c r="D56" s="41">
        <f>SUM(D47:D53)</f>
        <v>-43.7</v>
      </c>
      <c r="E56" s="41">
        <f>SUM(E47:E53)</f>
        <v>16</v>
      </c>
      <c r="F56" s="41">
        <f t="shared" si="32"/>
        <v>-27.700000000000003</v>
      </c>
      <c r="G56" s="38"/>
      <c r="H56" s="39"/>
      <c r="I56" s="41">
        <f>SUM(I47:I55)</f>
        <v>-41.768000000000001</v>
      </c>
      <c r="J56" s="41">
        <f>SUM(J47:J55)</f>
        <v>28.250000000000004</v>
      </c>
      <c r="K56" s="41">
        <f>SUM(I56:J56)</f>
        <v>-13.517999999999997</v>
      </c>
      <c r="L56" s="38"/>
      <c r="M56" s="38"/>
      <c r="N56" s="41" t="e">
        <f>SUM(N47:N55)</f>
        <v>#REF!</v>
      </c>
      <c r="O56" s="41" t="e">
        <f>SUM(O47:O55)</f>
        <v>#REF!</v>
      </c>
      <c r="P56" s="41" t="e">
        <f>SUM(P47:P55)</f>
        <v>#REF!</v>
      </c>
      <c r="Q56" s="39"/>
      <c r="R56" s="158">
        <f>SUM(R47:R55)</f>
        <v>-62.8</v>
      </c>
      <c r="S56" s="158">
        <f>SUM(S47:S55)</f>
        <v>33.25</v>
      </c>
      <c r="T56" s="158">
        <f>SUM(T47:T55)</f>
        <v>-29.549999999999997</v>
      </c>
      <c r="U56" s="41"/>
      <c r="V56" s="408">
        <f>SUM(V47:V55)</f>
        <v>-23.57741</v>
      </c>
      <c r="W56" s="408">
        <f>SUM(W47:W55)</f>
        <v>8.4166000000000007</v>
      </c>
      <c r="X56" s="408">
        <f>SUM(V56:W56)</f>
        <v>-15.16081</v>
      </c>
      <c r="Y56" s="80"/>
      <c r="Z56" s="80">
        <f>SUM(Z47:Z55)</f>
        <v>0</v>
      </c>
      <c r="AA56" s="39"/>
      <c r="AB56" s="249">
        <f>SUM(AB47:AB55)</f>
        <v>-52.300000000000004</v>
      </c>
      <c r="AC56" s="249">
        <f>SUM(AC47:AC55)</f>
        <v>42.6</v>
      </c>
      <c r="AD56" s="249">
        <f>SUM(AD47:AD55)</f>
        <v>-9.6999999999999993</v>
      </c>
      <c r="AE56" s="40"/>
      <c r="AF56" s="199"/>
      <c r="AG56" s="194"/>
      <c r="AH56" s="195"/>
      <c r="AI56" s="149">
        <f>SUM(AI47:AI55)</f>
        <v>-27.742640000000002</v>
      </c>
      <c r="AJ56" s="149">
        <f>SUM(AJ47:AJ55)</f>
        <v>25.980480000000004</v>
      </c>
      <c r="AK56" s="149">
        <f>AJ56+AI56</f>
        <v>-1.762159999999998</v>
      </c>
      <c r="AL56" s="81"/>
      <c r="AM56" s="81"/>
      <c r="AN56" s="81"/>
      <c r="AO56" s="81"/>
      <c r="AP56" s="418">
        <f>SUM(AP47:AP55)</f>
        <v>-83.199999999999989</v>
      </c>
      <c r="AQ56" s="418">
        <f>SUM(AQ47:AQ55)</f>
        <v>60.300000000000004</v>
      </c>
      <c r="AR56" s="418">
        <f t="shared" si="4"/>
        <v>-22.899999999999984</v>
      </c>
      <c r="AS56" s="226"/>
      <c r="AT56" s="81"/>
      <c r="AU56" s="81"/>
      <c r="AV56" s="81"/>
      <c r="AW56" s="333">
        <f>SUM(AW47:AW55)</f>
        <v>-27.144970000000001</v>
      </c>
      <c r="AX56" s="333">
        <f>SUM(AX47:AX55)</f>
        <v>20.663800000000002</v>
      </c>
      <c r="AY56" s="333">
        <f t="shared" si="19"/>
        <v>-6.4811699999999988</v>
      </c>
      <c r="AZ56" s="81"/>
      <c r="BA56" s="81"/>
      <c r="BB56" s="81"/>
      <c r="BC56" s="81"/>
      <c r="BD56" s="227" t="e">
        <f>SUM(BD47:BD55)</f>
        <v>#REF!</v>
      </c>
      <c r="BE56" s="227" t="e">
        <f>SUM(BE47:BE55)</f>
        <v>#REF!</v>
      </c>
      <c r="BF56" s="227" t="e">
        <f t="shared" si="7"/>
        <v>#REF!</v>
      </c>
      <c r="BG56" s="221" t="e">
        <f t="shared" si="27"/>
        <v>#REF!</v>
      </c>
      <c r="BK56" s="436">
        <f>SUM(BK47:BK55)</f>
        <v>-65.36999999999999</v>
      </c>
      <c r="BL56" s="436">
        <f>SUM(BL47:BL55)</f>
        <v>47.824999999999996</v>
      </c>
      <c r="BM56" s="436">
        <f t="shared" si="20"/>
        <v>-17.544999999999995</v>
      </c>
      <c r="BN56" s="226"/>
    </row>
    <row r="57" spans="1:66" ht="15" customHeight="1" outlineLevel="3" x14ac:dyDescent="0.25">
      <c r="A57" s="324">
        <v>51</v>
      </c>
      <c r="B57" s="385" t="s">
        <v>101</v>
      </c>
      <c r="C57" s="386" t="s">
        <v>102</v>
      </c>
      <c r="D57" s="37">
        <v>-3</v>
      </c>
      <c r="E57" s="37">
        <v>0</v>
      </c>
      <c r="F57" s="37">
        <f>SUM(D57:E57)</f>
        <v>-3</v>
      </c>
      <c r="G57" s="38"/>
      <c r="H57" s="39"/>
      <c r="I57" s="37">
        <v>-4.95</v>
      </c>
      <c r="J57" s="37">
        <v>1.5</v>
      </c>
      <c r="K57" s="37">
        <f>SUM(I57:J57)</f>
        <v>-3.45</v>
      </c>
      <c r="L57" s="38"/>
      <c r="M57" s="38"/>
      <c r="N57" s="37" t="e">
        <f>-SUMIF(#REF!,$C57,#REF!)/1000</f>
        <v>#REF!</v>
      </c>
      <c r="O57" s="37" t="e">
        <f>SUMIF(#REF!,$C57,#REF!)/1000</f>
        <v>#REF!</v>
      </c>
      <c r="P57" s="37" t="e">
        <f>N57+O57</f>
        <v>#REF!</v>
      </c>
      <c r="Q57" s="39"/>
      <c r="R57" s="157">
        <v>-3</v>
      </c>
      <c r="S57" s="157">
        <v>0</v>
      </c>
      <c r="T57" s="157">
        <f>R57+S57</f>
        <v>-3</v>
      </c>
      <c r="U57" s="37"/>
      <c r="V57" s="407"/>
      <c r="W57" s="407"/>
      <c r="X57" s="407">
        <f>SUM(V57:W57)</f>
        <v>0</v>
      </c>
      <c r="Y57" s="46"/>
      <c r="Z57" s="131" t="s">
        <v>416</v>
      </c>
      <c r="AA57" s="39"/>
      <c r="AB57" s="248">
        <v>-3</v>
      </c>
      <c r="AC57" s="248"/>
      <c r="AD57" s="248">
        <f t="shared" ref="AD57:AD64" si="38">AB57+AC57</f>
        <v>-3</v>
      </c>
      <c r="AE57" s="40"/>
      <c r="AF57" s="199"/>
      <c r="AG57" s="194"/>
      <c r="AH57" s="195"/>
      <c r="AI57" s="148">
        <v>-6.48834</v>
      </c>
      <c r="AJ57" s="148">
        <v>2.0019999999999998</v>
      </c>
      <c r="AK57" s="148">
        <v>-4.4863400000000002</v>
      </c>
      <c r="AL57" s="20"/>
      <c r="AM57" s="20"/>
      <c r="AN57" s="20"/>
      <c r="AO57" s="20"/>
      <c r="AP57" s="339"/>
      <c r="AQ57" s="339"/>
      <c r="AR57" s="339">
        <f t="shared" si="4"/>
        <v>0</v>
      </c>
      <c r="AS57" s="225"/>
      <c r="AT57" s="269"/>
      <c r="AU57" s="20"/>
      <c r="AV57" s="20"/>
      <c r="AW57" s="332"/>
      <c r="AX57" s="332"/>
      <c r="AY57" s="332">
        <f t="shared" si="19"/>
        <v>0</v>
      </c>
      <c r="AZ57" s="20"/>
      <c r="BA57" s="20"/>
      <c r="BB57" s="20"/>
      <c r="BC57" s="20"/>
      <c r="BD57" s="221" t="e">
        <f>-SUMIF(#REF!,'pôles &amp; actions'!$C57,#REF!)/1000</f>
        <v>#REF!</v>
      </c>
      <c r="BE57" s="221" t="e">
        <f>SUMIF(#REF!,'pôles &amp; actions'!$C57,#REF!)/1000</f>
        <v>#REF!</v>
      </c>
      <c r="BF57" s="221" t="e">
        <f t="shared" si="7"/>
        <v>#REF!</v>
      </c>
      <c r="BG57" s="221" t="e">
        <f t="shared" si="27"/>
        <v>#REF!</v>
      </c>
      <c r="BK57" s="345"/>
      <c r="BL57" s="345"/>
      <c r="BM57" s="345">
        <f t="shared" si="20"/>
        <v>0</v>
      </c>
      <c r="BN57" s="225"/>
    </row>
    <row r="58" spans="1:66" ht="15" customHeight="1" outlineLevel="2" x14ac:dyDescent="0.25">
      <c r="A58" s="324">
        <v>51</v>
      </c>
      <c r="B58" s="385" t="s">
        <v>101</v>
      </c>
      <c r="C58" s="386" t="s">
        <v>610</v>
      </c>
      <c r="D58" s="37"/>
      <c r="E58" s="37"/>
      <c r="F58" s="37"/>
      <c r="G58" s="38"/>
      <c r="H58" s="39"/>
      <c r="I58" s="37"/>
      <c r="J58" s="37"/>
      <c r="K58" s="37"/>
      <c r="L58" s="38"/>
      <c r="M58" s="38"/>
      <c r="N58" s="37"/>
      <c r="O58" s="37"/>
      <c r="P58" s="37"/>
      <c r="Q58" s="39"/>
      <c r="R58" s="157"/>
      <c r="S58" s="157"/>
      <c r="T58" s="157"/>
      <c r="U58" s="37"/>
      <c r="V58" s="407">
        <v>-0.20788000000000001</v>
      </c>
      <c r="W58" s="407"/>
      <c r="X58" s="407"/>
      <c r="Y58" s="46"/>
      <c r="Z58" s="131"/>
      <c r="AA58" s="39"/>
      <c r="AB58" s="248"/>
      <c r="AC58" s="248"/>
      <c r="AD58" s="248"/>
      <c r="AE58" s="40"/>
      <c r="AF58" s="199"/>
      <c r="AG58" s="194"/>
      <c r="AH58" s="195"/>
      <c r="AI58" s="148"/>
      <c r="AJ58" s="148"/>
      <c r="AK58" s="148"/>
      <c r="AL58" s="20"/>
      <c r="AM58" s="20"/>
      <c r="AN58" s="20"/>
      <c r="AO58" s="20"/>
      <c r="AP58" s="339">
        <v>-4.5</v>
      </c>
      <c r="AQ58" s="339"/>
      <c r="AR58" s="339">
        <f t="shared" si="4"/>
        <v>-4.5</v>
      </c>
      <c r="AS58" s="225"/>
      <c r="AT58" s="269">
        <v>4.5</v>
      </c>
      <c r="AU58" s="20"/>
      <c r="AV58" s="20"/>
      <c r="AW58" s="332">
        <v>-3.46292</v>
      </c>
      <c r="AX58" s="332">
        <v>2.3450000000000002</v>
      </c>
      <c r="AY58" s="332"/>
      <c r="AZ58" s="20"/>
      <c r="BA58" s="20"/>
      <c r="BB58" s="20"/>
      <c r="BC58" s="20"/>
      <c r="BD58" s="221" t="e">
        <f>-SUMIF(#REF!,'pôles &amp; actions'!$C58,#REF!)/1000</f>
        <v>#REF!</v>
      </c>
      <c r="BE58" s="221" t="e">
        <f>SUMIF(#REF!,'pôles &amp; actions'!$C58,#REF!)/1000</f>
        <v>#REF!</v>
      </c>
      <c r="BF58" s="221" t="e">
        <f t="shared" ref="BF58" si="39">BE58+BD58</f>
        <v>#REF!</v>
      </c>
      <c r="BG58" s="221" t="e">
        <f t="shared" ref="BG58" si="40">AR58-BF58</f>
        <v>#REF!</v>
      </c>
      <c r="BK58" s="345">
        <v>-4.5</v>
      </c>
      <c r="BL58" s="345"/>
      <c r="BM58" s="345"/>
      <c r="BN58" s="225"/>
    </row>
    <row r="59" spans="1:66" ht="15" customHeight="1" outlineLevel="2" x14ac:dyDescent="0.25">
      <c r="A59" s="324">
        <v>52</v>
      </c>
      <c r="B59" s="385" t="s">
        <v>103</v>
      </c>
      <c r="C59" s="386" t="s">
        <v>104</v>
      </c>
      <c r="D59" s="37">
        <v>-2</v>
      </c>
      <c r="E59" s="37">
        <v>0</v>
      </c>
      <c r="F59" s="37">
        <f>SUM(D59:E59)</f>
        <v>-2</v>
      </c>
      <c r="G59" s="38"/>
      <c r="H59" s="39"/>
      <c r="I59" s="37">
        <v>-0.7</v>
      </c>
      <c r="J59" s="37">
        <v>0</v>
      </c>
      <c r="K59" s="37">
        <f>SUM(I59:J59)</f>
        <v>-0.7</v>
      </c>
      <c r="L59" s="38"/>
      <c r="M59" s="38"/>
      <c r="N59" s="37" t="e">
        <f>-SUMIF(#REF!,$C59,#REF!)/1000</f>
        <v>#REF!</v>
      </c>
      <c r="O59" s="37" t="e">
        <f>SUMIF(#REF!,$C59,#REF!)/1000</f>
        <v>#REF!</v>
      </c>
      <c r="P59" s="37" t="e">
        <f>N59+O59</f>
        <v>#REF!</v>
      </c>
      <c r="Q59" s="39"/>
      <c r="R59" s="157">
        <v>-2</v>
      </c>
      <c r="S59" s="157">
        <v>0</v>
      </c>
      <c r="T59" s="157">
        <f>R59+S59</f>
        <v>-2</v>
      </c>
      <c r="U59" s="37"/>
      <c r="V59" s="407">
        <v>0</v>
      </c>
      <c r="W59" s="407">
        <v>0</v>
      </c>
      <c r="X59" s="407">
        <f>SUM(V59:W59)</f>
        <v>0</v>
      </c>
      <c r="Y59" s="46"/>
      <c r="Z59" s="131" t="s">
        <v>417</v>
      </c>
      <c r="AA59" s="39"/>
      <c r="AB59" s="248">
        <v>-0.7</v>
      </c>
      <c r="AC59" s="248"/>
      <c r="AD59" s="248">
        <f t="shared" si="38"/>
        <v>-0.7</v>
      </c>
      <c r="AE59" s="40"/>
      <c r="AF59" s="199"/>
      <c r="AG59" s="194"/>
      <c r="AH59" s="195"/>
      <c r="AI59" s="148">
        <v>-4.4657499999999999</v>
      </c>
      <c r="AJ59" s="148">
        <v>0.61945000000000006</v>
      </c>
      <c r="AK59" s="148">
        <v>-3.8462999999999998</v>
      </c>
      <c r="AL59" s="20"/>
      <c r="AM59" s="20"/>
      <c r="AN59" s="20"/>
      <c r="AO59" s="20"/>
      <c r="AP59" s="339">
        <v>-8</v>
      </c>
      <c r="AQ59" s="339"/>
      <c r="AR59" s="339">
        <f t="shared" si="4"/>
        <v>-8</v>
      </c>
      <c r="AS59" s="225"/>
      <c r="AT59" s="269" t="s">
        <v>476</v>
      </c>
      <c r="AU59" s="20" t="s">
        <v>492</v>
      </c>
      <c r="AV59" s="20"/>
      <c r="AW59" s="332">
        <v>0</v>
      </c>
      <c r="AX59" s="332">
        <v>0</v>
      </c>
      <c r="AY59" s="332">
        <f t="shared" si="19"/>
        <v>0</v>
      </c>
      <c r="AZ59" s="20"/>
      <c r="BA59" s="20"/>
      <c r="BB59" s="20"/>
      <c r="BC59" s="20"/>
      <c r="BD59" s="221" t="e">
        <f>-SUMIF(#REF!,'pôles &amp; actions'!$C59,#REF!)/1000</f>
        <v>#REF!</v>
      </c>
      <c r="BE59" s="221" t="e">
        <f>SUMIF(#REF!,'pôles &amp; actions'!$C59,#REF!)/1000</f>
        <v>#REF!</v>
      </c>
      <c r="BF59" s="221" t="e">
        <f t="shared" si="7"/>
        <v>#REF!</v>
      </c>
      <c r="BG59" s="221" t="e">
        <f t="shared" si="27"/>
        <v>#REF!</v>
      </c>
      <c r="BK59" s="345">
        <v>-9</v>
      </c>
      <c r="BL59" s="345"/>
      <c r="BM59" s="345">
        <f t="shared" si="20"/>
        <v>-9</v>
      </c>
      <c r="BN59" s="225"/>
    </row>
    <row r="60" spans="1:66" ht="15" customHeight="1" outlineLevel="2" x14ac:dyDescent="0.25">
      <c r="A60" s="324">
        <v>53</v>
      </c>
      <c r="B60" s="385" t="s">
        <v>105</v>
      </c>
      <c r="C60" s="386" t="s">
        <v>106</v>
      </c>
      <c r="D60" s="37"/>
      <c r="E60" s="37"/>
      <c r="F60" s="37"/>
      <c r="G60" s="38"/>
      <c r="H60" s="39"/>
      <c r="I60" s="37"/>
      <c r="J60" s="37"/>
      <c r="K60" s="37"/>
      <c r="L60" s="38"/>
      <c r="M60" s="38"/>
      <c r="N60" s="37"/>
      <c r="O60" s="37"/>
      <c r="P60" s="37"/>
      <c r="Q60" s="39"/>
      <c r="R60" s="157"/>
      <c r="S60" s="157"/>
      <c r="T60" s="157"/>
      <c r="U60" s="37"/>
      <c r="V60" s="407"/>
      <c r="W60" s="407"/>
      <c r="X60" s="407"/>
      <c r="Y60" s="46"/>
      <c r="Z60" s="131" t="s">
        <v>417</v>
      </c>
      <c r="AA60" s="39"/>
      <c r="AB60" s="248">
        <v>-2</v>
      </c>
      <c r="AC60" s="248"/>
      <c r="AD60" s="248">
        <f t="shared" si="38"/>
        <v>-2</v>
      </c>
      <c r="AE60" s="40"/>
      <c r="AF60" s="199"/>
      <c r="AG60" s="194"/>
      <c r="AH60" s="195"/>
      <c r="AI60" s="148">
        <v>0</v>
      </c>
      <c r="AJ60" s="148">
        <v>0</v>
      </c>
      <c r="AK60" s="148">
        <v>0</v>
      </c>
      <c r="AL60" s="20"/>
      <c r="AM60" s="20"/>
      <c r="AN60" s="20"/>
      <c r="AO60" s="20"/>
      <c r="AP60" s="339"/>
      <c r="AQ60" s="339"/>
      <c r="AR60" s="339">
        <f t="shared" si="4"/>
        <v>0</v>
      </c>
      <c r="AS60" s="225"/>
      <c r="AT60" s="267"/>
      <c r="AU60" s="20"/>
      <c r="AV60" s="20"/>
      <c r="AW60" s="332">
        <v>0</v>
      </c>
      <c r="AX60" s="332">
        <v>0</v>
      </c>
      <c r="AY60" s="332">
        <f t="shared" si="19"/>
        <v>0</v>
      </c>
      <c r="AZ60" s="20"/>
      <c r="BA60" s="20"/>
      <c r="BB60" s="20"/>
      <c r="BC60" s="20"/>
      <c r="BD60" s="221" t="e">
        <f>-SUMIF(#REF!,'pôles &amp; actions'!$C60,#REF!)/1000</f>
        <v>#REF!</v>
      </c>
      <c r="BE60" s="221" t="e">
        <f>SUMIF(#REF!,'pôles &amp; actions'!$C60,#REF!)/1000</f>
        <v>#REF!</v>
      </c>
      <c r="BF60" s="221" t="e">
        <f t="shared" si="7"/>
        <v>#REF!</v>
      </c>
      <c r="BG60" s="221" t="e">
        <f t="shared" si="27"/>
        <v>#REF!</v>
      </c>
      <c r="BK60" s="345"/>
      <c r="BL60" s="345"/>
      <c r="BM60" s="345">
        <f t="shared" si="20"/>
        <v>0</v>
      </c>
      <c r="BN60" s="225"/>
    </row>
    <row r="61" spans="1:66" ht="15" customHeight="1" outlineLevel="3" x14ac:dyDescent="0.25">
      <c r="A61" s="324">
        <v>54</v>
      </c>
      <c r="B61" s="385" t="s">
        <v>564</v>
      </c>
      <c r="C61" s="386" t="s">
        <v>557</v>
      </c>
      <c r="D61" s="37">
        <v>0</v>
      </c>
      <c r="E61" s="37">
        <v>0</v>
      </c>
      <c r="F61" s="37">
        <f>SUM(D61:E61)</f>
        <v>0</v>
      </c>
      <c r="G61" s="38"/>
      <c r="H61" s="39"/>
      <c r="I61" s="37">
        <v>0</v>
      </c>
      <c r="J61" s="37">
        <v>0</v>
      </c>
      <c r="K61" s="37">
        <f>SUM(I61:J61)</f>
        <v>0</v>
      </c>
      <c r="L61" s="38"/>
      <c r="M61" s="38"/>
      <c r="N61" s="37" t="e">
        <f>-SUMIF(#REF!,$C61,#REF!)/1000</f>
        <v>#REF!</v>
      </c>
      <c r="O61" s="37" t="e">
        <f>SUMIF(#REF!,$C61,#REF!)/1000</f>
        <v>#REF!</v>
      </c>
      <c r="P61" s="37" t="e">
        <f>N61+O61</f>
        <v>#REF!</v>
      </c>
      <c r="Q61" s="39"/>
      <c r="R61" s="157">
        <v>0</v>
      </c>
      <c r="S61" s="157">
        <v>0</v>
      </c>
      <c r="T61" s="157">
        <f>R61+S61</f>
        <v>0</v>
      </c>
      <c r="U61" s="37"/>
      <c r="V61" s="407">
        <v>0</v>
      </c>
      <c r="W61" s="407">
        <v>0</v>
      </c>
      <c r="X61" s="407">
        <f>SUM(V61:W61)</f>
        <v>0</v>
      </c>
      <c r="Y61" s="46"/>
      <c r="Z61" s="131" t="s">
        <v>414</v>
      </c>
      <c r="AA61" s="39"/>
      <c r="AB61" s="248"/>
      <c r="AC61" s="248"/>
      <c r="AD61" s="248">
        <f t="shared" si="38"/>
        <v>0</v>
      </c>
      <c r="AE61" s="40"/>
      <c r="AF61" s="199"/>
      <c r="AG61" s="194"/>
      <c r="AH61" s="195"/>
      <c r="AI61" s="148">
        <v>0</v>
      </c>
      <c r="AJ61" s="148">
        <v>0</v>
      </c>
      <c r="AK61" s="148">
        <v>0</v>
      </c>
      <c r="AL61" s="20"/>
      <c r="AM61" s="20"/>
      <c r="AN61" s="20"/>
      <c r="AO61" s="20"/>
      <c r="AP61" s="339">
        <v>-10</v>
      </c>
      <c r="AQ61" s="339">
        <v>3</v>
      </c>
      <c r="AR61" s="339">
        <f t="shared" si="4"/>
        <v>-7</v>
      </c>
      <c r="AS61" s="225"/>
      <c r="AT61" s="269">
        <v>10</v>
      </c>
      <c r="AU61" s="20" t="s">
        <v>501</v>
      </c>
      <c r="AV61" s="20"/>
      <c r="AW61" s="332">
        <v>-9.0100200000000008</v>
      </c>
      <c r="AX61" s="332">
        <v>3.06975</v>
      </c>
      <c r="AY61" s="332">
        <f t="shared" si="19"/>
        <v>-5.9402700000000008</v>
      </c>
      <c r="AZ61" s="20"/>
      <c r="BA61" s="20"/>
      <c r="BB61" s="20"/>
      <c r="BC61" s="20"/>
      <c r="BD61" s="221" t="e">
        <f>-SUMIF(#REF!,'pôles &amp; actions'!$C61,#REF!)/1000</f>
        <v>#REF!</v>
      </c>
      <c r="BE61" s="221" t="e">
        <f>SUMIF(#REF!,'pôles &amp; actions'!$C61,#REF!)/1000</f>
        <v>#REF!</v>
      </c>
      <c r="BF61" s="221" t="e">
        <f t="shared" si="7"/>
        <v>#REF!</v>
      </c>
      <c r="BG61" s="221" t="e">
        <f t="shared" si="27"/>
        <v>#REF!</v>
      </c>
      <c r="BK61" s="345">
        <v>-5</v>
      </c>
      <c r="BL61" s="345"/>
      <c r="BM61" s="345">
        <f t="shared" si="20"/>
        <v>-5</v>
      </c>
      <c r="BN61" s="225"/>
    </row>
    <row r="62" spans="1:66" ht="15" customHeight="1" outlineLevel="2" x14ac:dyDescent="0.25">
      <c r="A62" s="324">
        <v>55</v>
      </c>
      <c r="B62" s="385" t="s">
        <v>107</v>
      </c>
      <c r="C62" s="386" t="s">
        <v>558</v>
      </c>
      <c r="D62" s="37"/>
      <c r="E62" s="37"/>
      <c r="F62" s="37"/>
      <c r="G62" s="38"/>
      <c r="H62" s="39"/>
      <c r="I62" s="37"/>
      <c r="J62" s="37"/>
      <c r="K62" s="37"/>
      <c r="L62" s="38"/>
      <c r="M62" s="38"/>
      <c r="N62" s="37"/>
      <c r="O62" s="37"/>
      <c r="P62" s="37"/>
      <c r="Q62" s="39"/>
      <c r="R62" s="157"/>
      <c r="S62" s="157"/>
      <c r="T62" s="157"/>
      <c r="U62" s="37"/>
      <c r="V62" s="407"/>
      <c r="W62" s="407"/>
      <c r="X62" s="407"/>
      <c r="Y62" s="46"/>
      <c r="Z62" s="131" t="s">
        <v>416</v>
      </c>
      <c r="AA62" s="39"/>
      <c r="AB62" s="248">
        <v>-2</v>
      </c>
      <c r="AC62" s="248"/>
      <c r="AD62" s="248">
        <f t="shared" si="38"/>
        <v>-2</v>
      </c>
      <c r="AE62" s="40"/>
      <c r="AF62" s="199"/>
      <c r="AG62" s="194"/>
      <c r="AH62" s="195"/>
      <c r="AI62" s="148">
        <v>-6.60799</v>
      </c>
      <c r="AJ62" s="148">
        <v>0</v>
      </c>
      <c r="AK62" s="148">
        <v>-6.60799</v>
      </c>
      <c r="AL62" s="20"/>
      <c r="AM62" s="20"/>
      <c r="AN62" s="20"/>
      <c r="AO62" s="20"/>
      <c r="AP62" s="339">
        <f>-5.1+2</f>
        <v>-3.0999999999999996</v>
      </c>
      <c r="AQ62" s="339"/>
      <c r="AR62" s="339">
        <f t="shared" si="4"/>
        <v>-3.0999999999999996</v>
      </c>
      <c r="AS62" s="225"/>
      <c r="AT62" s="268" t="s">
        <v>476</v>
      </c>
      <c r="AU62" s="20" t="s">
        <v>553</v>
      </c>
      <c r="AV62" s="20"/>
      <c r="AW62" s="332">
        <v>-3.2212700000000001</v>
      </c>
      <c r="AX62" s="332">
        <v>0.18703999999999998</v>
      </c>
      <c r="AY62" s="332">
        <f t="shared" si="19"/>
        <v>-3.03423</v>
      </c>
      <c r="AZ62" s="20"/>
      <c r="BA62" s="20"/>
      <c r="BB62" s="20"/>
      <c r="BC62" s="20"/>
      <c r="BD62" s="221" t="e">
        <f>-SUMIF(#REF!,'pôles &amp; actions'!$C62,#REF!)/1000</f>
        <v>#REF!</v>
      </c>
      <c r="BE62" s="221" t="e">
        <f>SUMIF(#REF!,'pôles &amp; actions'!$C62,#REF!)/1000</f>
        <v>#REF!</v>
      </c>
      <c r="BF62" s="221" t="e">
        <f t="shared" si="7"/>
        <v>#REF!</v>
      </c>
      <c r="BG62" s="221" t="e">
        <f t="shared" si="27"/>
        <v>#REF!</v>
      </c>
      <c r="BK62" s="345">
        <f>-0.1-3</f>
        <v>-3.1</v>
      </c>
      <c r="BL62" s="345"/>
      <c r="BM62" s="345">
        <f t="shared" si="20"/>
        <v>-3.1</v>
      </c>
      <c r="BN62" s="225"/>
    </row>
    <row r="63" spans="1:66" ht="15" customHeight="1" outlineLevel="2" x14ac:dyDescent="0.25">
      <c r="A63" s="324">
        <v>56</v>
      </c>
      <c r="B63" s="385" t="s">
        <v>565</v>
      </c>
      <c r="C63" s="386" t="s">
        <v>566</v>
      </c>
      <c r="D63" s="37"/>
      <c r="E63" s="37"/>
      <c r="F63" s="37"/>
      <c r="G63" s="38"/>
      <c r="H63" s="39"/>
      <c r="I63" s="37"/>
      <c r="J63" s="37"/>
      <c r="K63" s="37"/>
      <c r="L63" s="38"/>
      <c r="M63" s="38"/>
      <c r="N63" s="37"/>
      <c r="O63" s="37"/>
      <c r="P63" s="37"/>
      <c r="Q63" s="39"/>
      <c r="R63" s="157"/>
      <c r="S63" s="157"/>
      <c r="T63" s="157"/>
      <c r="U63" s="37"/>
      <c r="V63" s="407"/>
      <c r="W63" s="407"/>
      <c r="X63" s="407"/>
      <c r="Y63" s="46"/>
      <c r="Z63" s="131"/>
      <c r="AA63" s="39"/>
      <c r="AB63" s="248"/>
      <c r="AC63" s="248"/>
      <c r="AD63" s="248"/>
      <c r="AE63" s="40"/>
      <c r="AF63" s="199"/>
      <c r="AG63" s="194"/>
      <c r="AH63" s="195"/>
      <c r="AI63" s="148"/>
      <c r="AJ63" s="148"/>
      <c r="AK63" s="148"/>
      <c r="AL63" s="20"/>
      <c r="AM63" s="20"/>
      <c r="AN63" s="20"/>
      <c r="AO63" s="20"/>
      <c r="AP63" s="339">
        <v>-2</v>
      </c>
      <c r="AQ63" s="339"/>
      <c r="AR63" s="339">
        <f t="shared" si="4"/>
        <v>-2</v>
      </c>
      <c r="AS63" s="225"/>
      <c r="AT63" s="268"/>
      <c r="AU63" s="20"/>
      <c r="AV63" s="20"/>
      <c r="AW63" s="332"/>
      <c r="AX63" s="332"/>
      <c r="AY63" s="332">
        <f t="shared" si="19"/>
        <v>0</v>
      </c>
      <c r="AZ63" s="20"/>
      <c r="BA63" s="20"/>
      <c r="BB63" s="20"/>
      <c r="BC63" s="20"/>
      <c r="BD63" s="221"/>
      <c r="BE63" s="221"/>
      <c r="BF63" s="221"/>
      <c r="BG63" s="221">
        <f t="shared" si="27"/>
        <v>-2</v>
      </c>
      <c r="BK63" s="345">
        <v>-9</v>
      </c>
      <c r="BL63" s="345">
        <f>2+5</f>
        <v>7</v>
      </c>
      <c r="BM63" s="345">
        <f t="shared" si="20"/>
        <v>-2</v>
      </c>
      <c r="BN63" s="225"/>
    </row>
    <row r="64" spans="1:66" ht="15" customHeight="1" outlineLevel="2" x14ac:dyDescent="0.25">
      <c r="A64" s="324">
        <v>57</v>
      </c>
      <c r="B64" s="385" t="s">
        <v>108</v>
      </c>
      <c r="C64" s="386" t="s">
        <v>109</v>
      </c>
      <c r="D64" s="37">
        <v>0</v>
      </c>
      <c r="E64" s="37">
        <v>0</v>
      </c>
      <c r="F64" s="37">
        <f>SUM(D64:E64)</f>
        <v>0</v>
      </c>
      <c r="G64" s="38"/>
      <c r="H64" s="39"/>
      <c r="I64" s="37">
        <v>0</v>
      </c>
      <c r="J64" s="37">
        <v>0</v>
      </c>
      <c r="K64" s="37">
        <f>SUM(I64:J64)</f>
        <v>0</v>
      </c>
      <c r="L64" s="38"/>
      <c r="M64" s="38"/>
      <c r="N64" s="37" t="e">
        <f>-SUMIF(#REF!,$C64,#REF!)/1000</f>
        <v>#REF!</v>
      </c>
      <c r="O64" s="37" t="e">
        <f>SUMIF(#REF!,$C64,#REF!)/1000</f>
        <v>#REF!</v>
      </c>
      <c r="P64" s="37" t="e">
        <f>N64+O64</f>
        <v>#REF!</v>
      </c>
      <c r="Q64" s="39"/>
      <c r="R64" s="157">
        <v>-1</v>
      </c>
      <c r="S64" s="157">
        <v>0</v>
      </c>
      <c r="T64" s="157">
        <f>R64+S64</f>
        <v>-1</v>
      </c>
      <c r="U64" s="37"/>
      <c r="V64" s="407">
        <v>0</v>
      </c>
      <c r="W64" s="407">
        <v>0</v>
      </c>
      <c r="X64" s="407">
        <f>SUM(V64:W64)</f>
        <v>0</v>
      </c>
      <c r="Y64" s="46"/>
      <c r="Z64" s="46"/>
      <c r="AA64" s="39"/>
      <c r="AB64" s="248">
        <v>-0.5</v>
      </c>
      <c r="AC64" s="248"/>
      <c r="AD64" s="248">
        <f t="shared" si="38"/>
        <v>-0.5</v>
      </c>
      <c r="AE64" s="40"/>
      <c r="AF64" s="199"/>
      <c r="AG64" s="194"/>
      <c r="AH64" s="195"/>
      <c r="AI64" s="148">
        <v>0</v>
      </c>
      <c r="AJ64" s="148">
        <v>0</v>
      </c>
      <c r="AK64" s="148">
        <v>0</v>
      </c>
      <c r="AL64" s="20"/>
      <c r="AM64" s="20"/>
      <c r="AN64" s="20"/>
      <c r="AO64" s="20"/>
      <c r="AP64" s="339"/>
      <c r="AQ64" s="339"/>
      <c r="AR64" s="339">
        <f t="shared" si="4"/>
        <v>0</v>
      </c>
      <c r="AS64" s="225"/>
      <c r="AT64" s="20"/>
      <c r="AU64" s="20"/>
      <c r="AV64" s="20"/>
      <c r="AW64" s="332">
        <v>0</v>
      </c>
      <c r="AX64" s="332">
        <v>0</v>
      </c>
      <c r="AY64" s="332">
        <f t="shared" si="19"/>
        <v>0</v>
      </c>
      <c r="AZ64" s="20"/>
      <c r="BA64" s="20"/>
      <c r="BB64" s="20"/>
      <c r="BC64" s="20"/>
      <c r="BD64" s="221" t="e">
        <f>-SUMIF(#REF!,'pôles &amp; actions'!$C64,#REF!)/1000</f>
        <v>#REF!</v>
      </c>
      <c r="BE64" s="221" t="e">
        <f>SUMIF(#REF!,'pôles &amp; actions'!$C64,#REF!)/1000</f>
        <v>#REF!</v>
      </c>
      <c r="BF64" s="221" t="e">
        <f t="shared" si="7"/>
        <v>#REF!</v>
      </c>
      <c r="BG64" s="221" t="e">
        <f t="shared" si="27"/>
        <v>#REF!</v>
      </c>
      <c r="BK64" s="345"/>
      <c r="BL64" s="345"/>
      <c r="BM64" s="345">
        <f t="shared" si="20"/>
        <v>0</v>
      </c>
      <c r="BN64" s="225"/>
    </row>
    <row r="65" spans="1:66" ht="15" customHeight="1" outlineLevel="2" thickBot="1" x14ac:dyDescent="0.3">
      <c r="A65" s="324">
        <v>58</v>
      </c>
      <c r="B65" s="385" t="s">
        <v>45</v>
      </c>
      <c r="C65" s="386" t="s">
        <v>611</v>
      </c>
      <c r="D65" s="37"/>
      <c r="E65" s="37"/>
      <c r="F65" s="37"/>
      <c r="G65" s="38"/>
      <c r="H65" s="39"/>
      <c r="I65" s="37"/>
      <c r="J65" s="37"/>
      <c r="K65" s="37"/>
      <c r="L65" s="38"/>
      <c r="M65" s="38"/>
      <c r="N65" s="37"/>
      <c r="O65" s="37"/>
      <c r="P65" s="37"/>
      <c r="Q65" s="39"/>
      <c r="R65" s="320"/>
      <c r="S65" s="320"/>
      <c r="T65" s="320"/>
      <c r="U65" s="37"/>
      <c r="V65" s="413"/>
      <c r="W65" s="413"/>
      <c r="X65" s="413"/>
      <c r="Y65" s="46"/>
      <c r="Z65" s="46"/>
      <c r="AA65" s="39"/>
      <c r="AB65" s="321"/>
      <c r="AC65" s="321"/>
      <c r="AD65" s="321"/>
      <c r="AE65" s="40"/>
      <c r="AF65" s="199"/>
      <c r="AG65" s="194"/>
      <c r="AH65" s="195"/>
      <c r="AI65" s="148"/>
      <c r="AJ65" s="148"/>
      <c r="AK65" s="148"/>
      <c r="AL65" s="20"/>
      <c r="AM65" s="20"/>
      <c r="AN65" s="20"/>
      <c r="AO65" s="20"/>
      <c r="AP65" s="424"/>
      <c r="AQ65" s="339"/>
      <c r="AR65" s="339">
        <f t="shared" si="4"/>
        <v>0</v>
      </c>
      <c r="AS65" s="225"/>
      <c r="AT65" s="20"/>
      <c r="AU65" s="20"/>
      <c r="AV65" s="20"/>
      <c r="AW65" s="332">
        <v>-0.53333000000000008</v>
      </c>
      <c r="AX65" s="332">
        <v>0</v>
      </c>
      <c r="AY65" s="332"/>
      <c r="AZ65" s="20"/>
      <c r="BA65" s="20"/>
      <c r="BB65" s="20"/>
      <c r="BC65" s="20"/>
      <c r="BD65" s="221" t="e">
        <f>-SUMIF(#REF!,'pôles &amp; actions'!$C65,#REF!)/1000</f>
        <v>#REF!</v>
      </c>
      <c r="BE65" s="221" t="e">
        <f>SUMIF(#REF!,'pôles &amp; actions'!$C65,#REF!)/1000</f>
        <v>#REF!</v>
      </c>
      <c r="BF65" s="221" t="e">
        <f t="shared" ref="BF65" si="41">BE65+BD65</f>
        <v>#REF!</v>
      </c>
      <c r="BG65" s="221" t="e">
        <f t="shared" si="27"/>
        <v>#REF!</v>
      </c>
      <c r="BK65" s="442"/>
      <c r="BL65" s="345"/>
      <c r="BM65" s="345">
        <f t="shared" si="20"/>
        <v>0</v>
      </c>
      <c r="BN65" s="225"/>
    </row>
    <row r="66" spans="1:66" ht="15" customHeight="1" outlineLevel="1" thickBot="1" x14ac:dyDescent="0.3">
      <c r="A66" s="324">
        <v>59</v>
      </c>
      <c r="B66" s="392" t="s">
        <v>110</v>
      </c>
      <c r="C66" s="393"/>
      <c r="D66" s="41"/>
      <c r="E66" s="41"/>
      <c r="F66" s="41"/>
      <c r="G66" s="38"/>
      <c r="H66" s="39"/>
      <c r="I66" s="41"/>
      <c r="J66" s="41"/>
      <c r="K66" s="41">
        <f>SUM(K57:K64)</f>
        <v>-4.1500000000000004</v>
      </c>
      <c r="L66" s="38"/>
      <c r="M66" s="38"/>
      <c r="N66" s="41"/>
      <c r="O66" s="41"/>
      <c r="P66" s="41" t="e">
        <f>SUM(P57:P64)</f>
        <v>#REF!</v>
      </c>
      <c r="Q66" s="39"/>
      <c r="R66" s="172"/>
      <c r="S66" s="172"/>
      <c r="T66" s="172"/>
      <c r="U66" s="41"/>
      <c r="V66" s="409">
        <f>SUM(V57:V64)</f>
        <v>-0.20788000000000001</v>
      </c>
      <c r="W66" s="409">
        <f t="shared" ref="W66:X66" si="42">SUM(W57:W64)</f>
        <v>0</v>
      </c>
      <c r="X66" s="409">
        <f t="shared" si="42"/>
        <v>0</v>
      </c>
      <c r="Y66" s="80"/>
      <c r="Z66" s="80"/>
      <c r="AA66" s="39"/>
      <c r="AB66" s="250">
        <f>SUM(AB57:AB64)</f>
        <v>-8.1999999999999993</v>
      </c>
      <c r="AC66" s="250">
        <f>SUM(AC57:AC64)</f>
        <v>0</v>
      </c>
      <c r="AD66" s="250">
        <f>SUM(AD57:AD64)</f>
        <v>-8.1999999999999993</v>
      </c>
      <c r="AE66" s="41"/>
      <c r="AF66" s="80"/>
      <c r="AG66" s="194"/>
      <c r="AH66" s="195"/>
      <c r="AI66" s="149">
        <f>SUM(AI57:AI64)</f>
        <v>-17.562080000000002</v>
      </c>
      <c r="AJ66" s="149">
        <f>SUM(AJ57:AJ64)</f>
        <v>2.6214499999999998</v>
      </c>
      <c r="AK66" s="149">
        <f>AJ66+AI66</f>
        <v>-14.940630000000002</v>
      </c>
      <c r="AL66" s="81"/>
      <c r="AM66" s="81"/>
      <c r="AN66" s="81"/>
      <c r="AO66" s="81"/>
      <c r="AP66" s="418">
        <f>SUM(AP57:AP64)</f>
        <v>-27.6</v>
      </c>
      <c r="AQ66" s="425">
        <f>SUM(AQ57:AQ64)</f>
        <v>3</v>
      </c>
      <c r="AR66" s="418">
        <f t="shared" si="4"/>
        <v>-24.6</v>
      </c>
      <c r="AS66" s="226"/>
      <c r="AT66" s="270">
        <f>SUM(AT57:AT64)</f>
        <v>14.5</v>
      </c>
      <c r="AU66" s="81"/>
      <c r="AV66" s="81"/>
      <c r="AW66" s="333">
        <f>SUM(AW57:AW65)</f>
        <v>-16.227540000000001</v>
      </c>
      <c r="AX66" s="333">
        <f>SUM(AX57:AX65)</f>
        <v>5.6017899999999994</v>
      </c>
      <c r="AY66" s="333">
        <f t="shared" si="19"/>
        <v>-10.625750000000002</v>
      </c>
      <c r="AZ66" s="81"/>
      <c r="BA66" s="81"/>
      <c r="BB66" s="81"/>
      <c r="BC66" s="81"/>
      <c r="BD66" s="227" t="e">
        <f>SUM(BD57:BD65)</f>
        <v>#REF!</v>
      </c>
      <c r="BE66" s="227" t="e">
        <f>SUM(BE57:BE65)</f>
        <v>#REF!</v>
      </c>
      <c r="BF66" s="227" t="e">
        <f>BE66+BD66</f>
        <v>#REF!</v>
      </c>
      <c r="BG66" s="221" t="e">
        <f t="shared" si="27"/>
        <v>#REF!</v>
      </c>
      <c r="BK66" s="436">
        <f>SUM(BK57:BK64)</f>
        <v>-30.6</v>
      </c>
      <c r="BL66" s="443">
        <f>SUM(BL57:BL64)</f>
        <v>7</v>
      </c>
      <c r="BM66" s="436">
        <f t="shared" si="20"/>
        <v>-23.6</v>
      </c>
      <c r="BN66" s="226"/>
    </row>
    <row r="67" spans="1:66" ht="15" customHeight="1" outlineLevel="1" thickBot="1" x14ac:dyDescent="0.3">
      <c r="A67" s="324">
        <v>60</v>
      </c>
      <c r="B67" s="387" t="s">
        <v>111</v>
      </c>
      <c r="C67" s="388"/>
      <c r="D67" s="42">
        <f>SUM(D57:D64,D56,D46,D36)</f>
        <v>-146.19999999999999</v>
      </c>
      <c r="E67" s="42">
        <f>SUM(E57:E64,E56,E46,E36)</f>
        <v>80.449999999999989</v>
      </c>
      <c r="F67" s="42">
        <f>SUM(D67:E67)</f>
        <v>-65.75</v>
      </c>
      <c r="G67" s="38"/>
      <c r="H67" s="39"/>
      <c r="I67" s="42">
        <f>SUM(I57:I64,I56,I46,I36)</f>
        <v>-108.739</v>
      </c>
      <c r="J67" s="42">
        <f>SUM(J57:J64,J56,J46,J36)</f>
        <v>72.165999999999997</v>
      </c>
      <c r="K67" s="42">
        <f>SUM(I67:J67)</f>
        <v>-36.573000000000008</v>
      </c>
      <c r="L67" s="38"/>
      <c r="M67" s="38"/>
      <c r="N67" s="42" t="e">
        <f>SUM(N57:N64)+N36+N46+N56</f>
        <v>#REF!</v>
      </c>
      <c r="O67" s="42" t="e">
        <f>SUM(O57:O64)+O36+O46+O56</f>
        <v>#REF!</v>
      </c>
      <c r="P67" s="42" t="e">
        <f>SUM(P57:P64)+P36+P46+P56</f>
        <v>#REF!</v>
      </c>
      <c r="Q67" s="39"/>
      <c r="R67" s="92">
        <f>SUM(R57:R64)+R36+R46+R56</f>
        <v>-142.05000000000001</v>
      </c>
      <c r="S67" s="92">
        <f>SUM(S57:S64)+S36+S46+S56</f>
        <v>67.45</v>
      </c>
      <c r="T67" s="92">
        <f>SUM(T57:T64)+T36+T46+T56</f>
        <v>-74.599999999999994</v>
      </c>
      <c r="U67" s="42"/>
      <c r="V67" s="410">
        <f>SUM(V66,V36,V46,V56)</f>
        <v>-75.309229999999999</v>
      </c>
      <c r="W67" s="410">
        <f>SUM(W66,W36,W46,W56)</f>
        <v>40.535810000000005</v>
      </c>
      <c r="X67" s="410">
        <f>SUM(X66,X36,X46,X56)</f>
        <v>-34.565539999999999</v>
      </c>
      <c r="Y67" s="67"/>
      <c r="Z67" s="67">
        <f t="shared" ref="Z67" si="43">SUM(Z66,Z36,Z46,Z56)</f>
        <v>0</v>
      </c>
      <c r="AA67" s="39"/>
      <c r="AB67" s="251">
        <f>SUM(AB57:AB64)+AB36+AB46+AB56</f>
        <v>-152.61600000000001</v>
      </c>
      <c r="AC67" s="252">
        <f>SUM(AC57:AC64)+AC36+AC46+AC56</f>
        <v>108.97</v>
      </c>
      <c r="AD67" s="238">
        <f>SUM(AD57:AD64)+AD36+AD46+AD56</f>
        <v>-43.646000000000001</v>
      </c>
      <c r="AE67" s="41"/>
      <c r="AF67" s="80"/>
      <c r="AG67" s="194"/>
      <c r="AH67" s="195"/>
      <c r="AI67" s="230">
        <f>SUM(AI36+AI46+AI56+AI66)</f>
        <v>-110.66668999999999</v>
      </c>
      <c r="AJ67" s="230">
        <f>SUM(AJ36+AJ46+AJ56+AJ66)</f>
        <v>83.335549999999998</v>
      </c>
      <c r="AK67" s="237">
        <f>AJ67+AI67</f>
        <v>-27.331139999999991</v>
      </c>
      <c r="AL67" s="26"/>
      <c r="AM67" s="26"/>
      <c r="AN67" s="26"/>
      <c r="AO67" s="81"/>
      <c r="AP67" s="418">
        <f>SUM(AP57:AP64)+AP36+AP46+AP56</f>
        <v>-229.79999999999998</v>
      </c>
      <c r="AQ67" s="418">
        <f>SUM(AQ57:AQ64)+AQ36+AQ46+AQ56</f>
        <v>150.65</v>
      </c>
      <c r="AR67" s="418">
        <f t="shared" si="4"/>
        <v>-79.149999999999977</v>
      </c>
      <c r="AS67" s="241"/>
      <c r="AT67" s="270">
        <f>AT36+AT46+AT66</f>
        <v>81.3</v>
      </c>
      <c r="AU67" s="20"/>
      <c r="AV67" s="20"/>
      <c r="AW67" s="433">
        <f>SUM(AW36+AW46+AW56+AW66)</f>
        <v>-140.75049999999999</v>
      </c>
      <c r="AX67" s="433">
        <f>SUM(AX36+AX46+AX56+AX66)</f>
        <v>100.54909000000001</v>
      </c>
      <c r="AY67" s="434">
        <f t="shared" si="19"/>
        <v>-40.201409999999981</v>
      </c>
      <c r="AZ67" s="20"/>
      <c r="BA67" s="20"/>
      <c r="BB67" s="20"/>
      <c r="BC67" s="20"/>
      <c r="BD67" s="227" t="e">
        <f>SUM(BD57:BD65)+BD36+BD46+BD56</f>
        <v>#REF!</v>
      </c>
      <c r="BE67" s="227" t="e">
        <f>SUM(BE57:BE65)+BE36+BE46+BE56</f>
        <v>#REF!</v>
      </c>
      <c r="BF67" s="227" t="e">
        <f t="shared" si="7"/>
        <v>#REF!</v>
      </c>
      <c r="BG67" s="221" t="e">
        <f t="shared" si="27"/>
        <v>#REF!</v>
      </c>
      <c r="BK67" s="436">
        <f>SUM(BK57:BK64)+BK36+BK46+BK56</f>
        <v>-216.37</v>
      </c>
      <c r="BL67" s="436">
        <f>SUM(BL57:BL64)+BL36+BL46+BL56</f>
        <v>140.07499999999999</v>
      </c>
      <c r="BM67" s="436">
        <f t="shared" si="20"/>
        <v>-76.295000000000016</v>
      </c>
      <c r="BN67" s="241"/>
    </row>
    <row r="68" spans="1:66" ht="15" customHeight="1" outlineLevel="1" x14ac:dyDescent="0.25">
      <c r="A68" s="324">
        <v>61</v>
      </c>
      <c r="B68" s="390"/>
      <c r="C68" s="39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2"/>
      <c r="O68" s="102"/>
      <c r="P68" s="102"/>
      <c r="R68" s="601"/>
      <c r="S68" s="601"/>
      <c r="T68" s="601"/>
      <c r="V68" s="602"/>
      <c r="W68" s="602"/>
      <c r="X68" s="602"/>
      <c r="Y68" s="34"/>
      <c r="Z68" s="125"/>
      <c r="AB68" s="603"/>
      <c r="AC68" s="603"/>
      <c r="AD68" s="603"/>
      <c r="AE68" s="193"/>
      <c r="AF68" s="199"/>
      <c r="AG68" s="194"/>
      <c r="AH68" s="195"/>
      <c r="AI68" s="604"/>
      <c r="AJ68" s="604"/>
      <c r="AK68" s="604"/>
      <c r="AL68" s="20"/>
      <c r="AM68" s="20"/>
      <c r="AN68" s="20"/>
      <c r="AO68" s="20"/>
      <c r="AP68" s="605"/>
      <c r="AQ68" s="605"/>
      <c r="AR68" s="605"/>
      <c r="AS68" s="225"/>
      <c r="AT68" s="20"/>
      <c r="AU68" s="20"/>
      <c r="AV68" s="20"/>
      <c r="AW68" s="595"/>
      <c r="AX68" s="595"/>
      <c r="AY68" s="595"/>
      <c r="AZ68" s="20"/>
      <c r="BA68" s="20"/>
      <c r="BB68" s="20"/>
      <c r="BC68" s="20"/>
      <c r="BD68" s="599"/>
      <c r="BE68" s="599"/>
      <c r="BF68" s="599"/>
      <c r="BG68" s="221">
        <f t="shared" si="27"/>
        <v>0</v>
      </c>
      <c r="BK68" s="593"/>
      <c r="BL68" s="593"/>
      <c r="BM68" s="593"/>
      <c r="BN68" s="225"/>
    </row>
    <row r="69" spans="1:66" ht="15" customHeight="1" x14ac:dyDescent="0.25">
      <c r="A69" s="324">
        <v>62</v>
      </c>
      <c r="B69" s="396" t="str">
        <f>B$4</f>
        <v>en k€</v>
      </c>
      <c r="C69" s="384"/>
      <c r="D69" s="43" t="s">
        <v>8</v>
      </c>
      <c r="E69" s="43" t="s">
        <v>9</v>
      </c>
      <c r="F69" s="43" t="s">
        <v>64</v>
      </c>
      <c r="G69" s="38"/>
      <c r="H69" s="39"/>
      <c r="I69" s="43" t="s">
        <v>8</v>
      </c>
      <c r="J69" s="43" t="s">
        <v>9</v>
      </c>
      <c r="K69" s="44" t="str">
        <f>K$4</f>
        <v>2018a</v>
      </c>
      <c r="L69" s="38"/>
      <c r="M69" s="38"/>
      <c r="N69" s="43" t="s">
        <v>8</v>
      </c>
      <c r="O69" s="43" t="s">
        <v>9</v>
      </c>
      <c r="P69" s="44" t="str">
        <f>P$4</f>
        <v>2019a</v>
      </c>
      <c r="Q69" s="39"/>
      <c r="R69" s="93" t="s">
        <v>8</v>
      </c>
      <c r="S69" s="93" t="s">
        <v>9</v>
      </c>
      <c r="T69" s="93" t="s">
        <v>64</v>
      </c>
      <c r="U69" s="43"/>
      <c r="V69" s="411" t="s">
        <v>8</v>
      </c>
      <c r="W69" s="411" t="s">
        <v>9</v>
      </c>
      <c r="X69" s="412" t="s">
        <v>64</v>
      </c>
      <c r="Y69" s="80"/>
      <c r="Z69" s="80"/>
      <c r="AA69" s="39"/>
      <c r="AB69" s="235" t="s">
        <v>8</v>
      </c>
      <c r="AC69" s="235" t="s">
        <v>9</v>
      </c>
      <c r="AD69" s="236" t="str">
        <f>AD$4</f>
        <v>résultat</v>
      </c>
      <c r="AE69" s="192"/>
      <c r="AF69" s="199"/>
      <c r="AI69" s="140" t="s">
        <v>8</v>
      </c>
      <c r="AJ69" s="140" t="s">
        <v>9</v>
      </c>
      <c r="AK69" s="95" t="s">
        <v>64</v>
      </c>
      <c r="AL69" s="20"/>
      <c r="AM69" s="20"/>
      <c r="AN69" s="20"/>
      <c r="AO69" s="20"/>
      <c r="AP69" s="422" t="s">
        <v>8</v>
      </c>
      <c r="AQ69" s="422" t="s">
        <v>9</v>
      </c>
      <c r="AR69" s="423" t="str">
        <f>AR$4</f>
        <v>résultat</v>
      </c>
      <c r="AS69" s="225"/>
      <c r="AT69" s="20"/>
      <c r="AU69" s="20"/>
      <c r="AV69" s="20"/>
      <c r="AW69" s="431" t="s">
        <v>8</v>
      </c>
      <c r="AX69" s="431" t="s">
        <v>9</v>
      </c>
      <c r="AY69" s="432" t="s">
        <v>64</v>
      </c>
      <c r="AZ69" s="20"/>
      <c r="BA69" s="20"/>
      <c r="BB69" s="20"/>
      <c r="BC69" s="20"/>
      <c r="BD69" s="233" t="s">
        <v>8</v>
      </c>
      <c r="BE69" s="233" t="s">
        <v>9</v>
      </c>
      <c r="BF69" s="234" t="str">
        <f>BF$4</f>
        <v>résultat</v>
      </c>
      <c r="BG69" s="221" t="e">
        <f t="shared" si="27"/>
        <v>#VALUE!</v>
      </c>
      <c r="BK69" s="440" t="s">
        <v>8</v>
      </c>
      <c r="BL69" s="440" t="s">
        <v>9</v>
      </c>
      <c r="BM69" s="441" t="str">
        <f>BM$4</f>
        <v>résultat</v>
      </c>
      <c r="BN69" s="225"/>
    </row>
    <row r="70" spans="1:66" ht="15" customHeight="1" outlineLevel="2" x14ac:dyDescent="0.25">
      <c r="A70" s="324">
        <v>63</v>
      </c>
      <c r="B70" s="385" t="s">
        <v>37</v>
      </c>
      <c r="C70" s="386" t="s">
        <v>112</v>
      </c>
      <c r="D70" s="37">
        <v>-4</v>
      </c>
      <c r="E70" s="37">
        <v>10</v>
      </c>
      <c r="F70" s="37">
        <f t="shared" ref="F70:F76" si="44">SUM(D70:E70)</f>
        <v>6</v>
      </c>
      <c r="G70" s="38"/>
      <c r="H70" s="39"/>
      <c r="I70" s="37">
        <v>-3.1</v>
      </c>
      <c r="J70" s="37">
        <v>0.7</v>
      </c>
      <c r="K70" s="37">
        <f t="shared" ref="K70:K75" si="45">SUM(I70:J70)</f>
        <v>-2.4000000000000004</v>
      </c>
      <c r="L70" s="38"/>
      <c r="M70" s="38"/>
      <c r="N70" s="37" t="e">
        <f>-SUMIF(#REF!,$C70,#REF!)/1000</f>
        <v>#REF!</v>
      </c>
      <c r="O70" s="37" t="e">
        <f>SUMIF(#REF!,$C70,#REF!)/1000</f>
        <v>#REF!</v>
      </c>
      <c r="P70" s="37" t="e">
        <f t="shared" ref="P70:P75" si="46">N70+O70</f>
        <v>#REF!</v>
      </c>
      <c r="Q70" s="39"/>
      <c r="R70" s="156">
        <v>-2</v>
      </c>
      <c r="S70" s="156">
        <v>0</v>
      </c>
      <c r="T70" s="156">
        <f t="shared" ref="T70:T75" si="47">R70+S70</f>
        <v>-2</v>
      </c>
      <c r="U70" s="37"/>
      <c r="V70" s="406">
        <v>-6.8208100000000007</v>
      </c>
      <c r="W70" s="406">
        <v>0</v>
      </c>
      <c r="X70" s="406">
        <f t="shared" ref="X70:X75" si="48">SUM(V70:W70)</f>
        <v>-6.8208100000000007</v>
      </c>
      <c r="Y70" s="46"/>
      <c r="Z70" s="133"/>
      <c r="AA70" s="39"/>
      <c r="AB70" s="247">
        <v>-0.4</v>
      </c>
      <c r="AC70" s="247"/>
      <c r="AD70" s="247">
        <f t="shared" ref="AD70:AD75" si="49">AB70+AC70</f>
        <v>-0.4</v>
      </c>
      <c r="AE70" s="193"/>
      <c r="AF70" s="199"/>
      <c r="AG70" s="194"/>
      <c r="AH70" s="195"/>
      <c r="AI70" s="148">
        <v>-3.4969999999999999</v>
      </c>
      <c r="AJ70" s="148">
        <v>2.258</v>
      </c>
      <c r="AK70" s="148">
        <v>-1.2389999999999999</v>
      </c>
      <c r="AL70" s="20"/>
      <c r="AM70" s="20"/>
      <c r="AN70" s="20"/>
      <c r="AO70" s="20"/>
      <c r="AP70" s="426"/>
      <c r="AQ70" s="426"/>
      <c r="AR70" s="339">
        <f t="shared" si="4"/>
        <v>0</v>
      </c>
      <c r="AS70" s="225"/>
      <c r="AT70" s="276"/>
      <c r="AU70" s="20" t="s">
        <v>493</v>
      </c>
      <c r="AV70" s="20"/>
      <c r="AW70" s="332">
        <v>-1.5468499999999998</v>
      </c>
      <c r="AX70" s="332">
        <v>0</v>
      </c>
      <c r="AY70" s="332">
        <f t="shared" ref="AY70:AY95" si="50">AX70+AW70</f>
        <v>-1.5468499999999998</v>
      </c>
      <c r="AZ70" s="20"/>
      <c r="BA70" s="20"/>
      <c r="BB70" s="20"/>
      <c r="BC70" s="20"/>
      <c r="BD70" s="221" t="e">
        <f>-SUMIF(#REF!,'pôles &amp; actions'!$C70,#REF!)/1000</f>
        <v>#REF!</v>
      </c>
      <c r="BE70" s="221" t="e">
        <f>SUMIF(#REF!,'pôles &amp; actions'!$C70,#REF!)/1000</f>
        <v>#REF!</v>
      </c>
      <c r="BF70" s="221" t="e">
        <f t="shared" si="7"/>
        <v>#REF!</v>
      </c>
      <c r="BG70" s="221" t="e">
        <f t="shared" si="27"/>
        <v>#REF!</v>
      </c>
      <c r="BK70" s="345">
        <v>-2.6</v>
      </c>
      <c r="BL70" s="345"/>
      <c r="BM70" s="345">
        <f t="shared" ref="BM70:BM75" si="51">BK70+BL70</f>
        <v>-2.6</v>
      </c>
      <c r="BN70" s="225"/>
    </row>
    <row r="71" spans="1:66" ht="15" customHeight="1" outlineLevel="2" x14ac:dyDescent="0.25">
      <c r="A71" s="324">
        <v>64</v>
      </c>
      <c r="B71" s="385" t="s">
        <v>7</v>
      </c>
      <c r="C71" s="386" t="s">
        <v>113</v>
      </c>
      <c r="D71" s="37">
        <v>-1</v>
      </c>
      <c r="E71" s="37">
        <v>0</v>
      </c>
      <c r="F71" s="37">
        <f t="shared" si="44"/>
        <v>-1</v>
      </c>
      <c r="G71" s="38"/>
      <c r="H71" s="39"/>
      <c r="I71" s="37">
        <v>-0.4</v>
      </c>
      <c r="J71" s="37">
        <v>0</v>
      </c>
      <c r="K71" s="37">
        <f t="shared" si="45"/>
        <v>-0.4</v>
      </c>
      <c r="L71" s="38"/>
      <c r="M71" s="38"/>
      <c r="N71" s="37" t="e">
        <f>-SUMIF(#REF!,$C71,#REF!)/1000</f>
        <v>#REF!</v>
      </c>
      <c r="O71" s="37" t="e">
        <f>SUMIF(#REF!,$C71,#REF!)/1000</f>
        <v>#REF!</v>
      </c>
      <c r="P71" s="37" t="e">
        <f t="shared" si="46"/>
        <v>#REF!</v>
      </c>
      <c r="Q71" s="39"/>
      <c r="R71" s="157">
        <v>-0.1</v>
      </c>
      <c r="S71" s="157">
        <v>0</v>
      </c>
      <c r="T71" s="157">
        <f t="shared" si="47"/>
        <v>-0.1</v>
      </c>
      <c r="U71" s="37"/>
      <c r="V71" s="407">
        <v>-0.36299999999999999</v>
      </c>
      <c r="W71" s="407">
        <v>0</v>
      </c>
      <c r="X71" s="407">
        <f t="shared" si="48"/>
        <v>-0.36299999999999999</v>
      </c>
      <c r="Y71" s="46"/>
      <c r="Z71" s="131" t="s">
        <v>415</v>
      </c>
      <c r="AA71" s="39"/>
      <c r="AB71" s="248">
        <v>-0.1</v>
      </c>
      <c r="AC71" s="248"/>
      <c r="AD71" s="248">
        <f t="shared" si="49"/>
        <v>-0.1</v>
      </c>
      <c r="AE71" s="193"/>
      <c r="AF71" s="199"/>
      <c r="AG71" s="194"/>
      <c r="AH71" s="195"/>
      <c r="AI71" s="148">
        <v>0</v>
      </c>
      <c r="AJ71" s="148">
        <v>0</v>
      </c>
      <c r="AK71" s="148">
        <v>0</v>
      </c>
      <c r="AL71" s="20"/>
      <c r="AM71" s="20"/>
      <c r="AN71" s="20"/>
      <c r="AO71" s="20"/>
      <c r="AP71" s="427">
        <v>-0.3</v>
      </c>
      <c r="AQ71" s="427"/>
      <c r="AR71" s="339">
        <f t="shared" si="4"/>
        <v>-0.3</v>
      </c>
      <c r="AS71" s="225"/>
      <c r="AT71" s="20"/>
      <c r="AU71" s="20" t="s">
        <v>494</v>
      </c>
      <c r="AV71" s="20"/>
      <c r="AW71" s="332">
        <v>-0.05</v>
      </c>
      <c r="AX71" s="332">
        <v>0</v>
      </c>
      <c r="AY71" s="332">
        <f t="shared" si="50"/>
        <v>-0.05</v>
      </c>
      <c r="AZ71" s="20"/>
      <c r="BA71" s="20"/>
      <c r="BB71" s="20"/>
      <c r="BC71" s="20"/>
      <c r="BD71" s="221" t="e">
        <f>-SUMIF(#REF!,'pôles &amp; actions'!$C71,#REF!)/1000</f>
        <v>#REF!</v>
      </c>
      <c r="BE71" s="221" t="e">
        <f>SUMIF(#REF!,'pôles &amp; actions'!$C71,#REF!)/1000</f>
        <v>#REF!</v>
      </c>
      <c r="BF71" s="221" t="e">
        <f t="shared" si="7"/>
        <v>#REF!</v>
      </c>
      <c r="BG71" s="221" t="e">
        <f t="shared" ref="BG71:BG102" si="52">AR71-BF71</f>
        <v>#REF!</v>
      </c>
      <c r="BK71" s="345">
        <v>-2</v>
      </c>
      <c r="BL71" s="345"/>
      <c r="BM71" s="345">
        <f t="shared" si="51"/>
        <v>-2</v>
      </c>
      <c r="BN71" s="225"/>
    </row>
    <row r="72" spans="1:66" ht="15" customHeight="1" outlineLevel="2" x14ac:dyDescent="0.25">
      <c r="A72" s="324">
        <v>65</v>
      </c>
      <c r="B72" s="385" t="s">
        <v>43</v>
      </c>
      <c r="C72" s="386" t="s">
        <v>114</v>
      </c>
      <c r="D72" s="37">
        <v>-1</v>
      </c>
      <c r="E72" s="37">
        <v>0</v>
      </c>
      <c r="F72" s="37">
        <f t="shared" si="44"/>
        <v>-1</v>
      </c>
      <c r="G72" s="38"/>
      <c r="H72" s="39"/>
      <c r="I72" s="37">
        <v>-0.3</v>
      </c>
      <c r="J72" s="37">
        <v>0</v>
      </c>
      <c r="K72" s="37">
        <f t="shared" si="45"/>
        <v>-0.3</v>
      </c>
      <c r="L72" s="38"/>
      <c r="M72" s="38"/>
      <c r="N72" s="37" t="e">
        <f>-SUMIF(#REF!,$C72,#REF!)/1000</f>
        <v>#REF!</v>
      </c>
      <c r="O72" s="37" t="e">
        <f>SUMIF(#REF!,$C72,#REF!)/1000</f>
        <v>#REF!</v>
      </c>
      <c r="P72" s="37" t="e">
        <f t="shared" si="46"/>
        <v>#REF!</v>
      </c>
      <c r="Q72" s="39"/>
      <c r="R72" s="157">
        <v>-1.8</v>
      </c>
      <c r="S72" s="157">
        <v>0</v>
      </c>
      <c r="T72" s="157">
        <f t="shared" si="47"/>
        <v>-1.8</v>
      </c>
      <c r="U72" s="37"/>
      <c r="V72" s="407">
        <v>0</v>
      </c>
      <c r="W72" s="407">
        <v>0</v>
      </c>
      <c r="X72" s="407">
        <f t="shared" si="48"/>
        <v>0</v>
      </c>
      <c r="Y72" s="46"/>
      <c r="Z72" s="46"/>
      <c r="AA72" s="39"/>
      <c r="AB72" s="248">
        <v>-0.3</v>
      </c>
      <c r="AC72" s="248"/>
      <c r="AD72" s="248">
        <f t="shared" si="49"/>
        <v>-0.3</v>
      </c>
      <c r="AE72" s="193"/>
      <c r="AF72" s="199"/>
      <c r="AG72" s="194"/>
      <c r="AH72" s="195"/>
      <c r="AI72" s="148">
        <v>0</v>
      </c>
      <c r="AJ72" s="148">
        <v>0</v>
      </c>
      <c r="AK72" s="148">
        <v>0</v>
      </c>
      <c r="AL72" s="20"/>
      <c r="AM72" s="20"/>
      <c r="AN72" s="20"/>
      <c r="AO72" s="20"/>
      <c r="AP72" s="427">
        <v>-1.1000000000000001</v>
      </c>
      <c r="AQ72" s="427"/>
      <c r="AR72" s="339">
        <f t="shared" si="4"/>
        <v>-1.1000000000000001</v>
      </c>
      <c r="AS72" s="225"/>
      <c r="AT72" s="276"/>
      <c r="AU72" s="20"/>
      <c r="AV72" s="20"/>
      <c r="AW72" s="332">
        <v>-2.4079999999999999</v>
      </c>
      <c r="AX72" s="332">
        <v>0</v>
      </c>
      <c r="AY72" s="332">
        <f t="shared" si="50"/>
        <v>-2.4079999999999999</v>
      </c>
      <c r="AZ72" s="20"/>
      <c r="BA72" s="20"/>
      <c r="BB72" s="20"/>
      <c r="BC72" s="20"/>
      <c r="BD72" s="221" t="e">
        <f>-SUMIF(#REF!,'pôles &amp; actions'!$C72,#REF!)/1000</f>
        <v>#REF!</v>
      </c>
      <c r="BE72" s="221" t="e">
        <f>SUMIF(#REF!,'pôles &amp; actions'!$C72,#REF!)/1000</f>
        <v>#REF!</v>
      </c>
      <c r="BF72" s="221" t="e">
        <f t="shared" si="7"/>
        <v>#REF!</v>
      </c>
      <c r="BG72" s="221" t="e">
        <f t="shared" si="52"/>
        <v>#REF!</v>
      </c>
      <c r="BK72" s="345">
        <v>-1</v>
      </c>
      <c r="BL72" s="345"/>
      <c r="BM72" s="345">
        <f t="shared" si="51"/>
        <v>-1</v>
      </c>
      <c r="BN72" s="225"/>
    </row>
    <row r="73" spans="1:66" ht="15" customHeight="1" outlineLevel="2" x14ac:dyDescent="0.25">
      <c r="A73" s="324">
        <v>66</v>
      </c>
      <c r="B73" s="385" t="s">
        <v>115</v>
      </c>
      <c r="C73" s="386" t="s">
        <v>116</v>
      </c>
      <c r="D73" s="37">
        <v>0</v>
      </c>
      <c r="E73" s="37">
        <v>0</v>
      </c>
      <c r="F73" s="37">
        <f t="shared" si="44"/>
        <v>0</v>
      </c>
      <c r="G73" s="38"/>
      <c r="H73" s="39"/>
      <c r="I73" s="37">
        <v>0</v>
      </c>
      <c r="J73" s="37">
        <v>0</v>
      </c>
      <c r="K73" s="37">
        <f t="shared" si="45"/>
        <v>0</v>
      </c>
      <c r="L73" s="38"/>
      <c r="M73" s="38"/>
      <c r="N73" s="37" t="e">
        <f>-SUMIF(#REF!,$C73,#REF!)/1000</f>
        <v>#REF!</v>
      </c>
      <c r="O73" s="37" t="e">
        <f>SUMIF(#REF!,$C73,#REF!)/1000</f>
        <v>#REF!</v>
      </c>
      <c r="P73" s="37" t="e">
        <f t="shared" si="46"/>
        <v>#REF!</v>
      </c>
      <c r="Q73" s="39"/>
      <c r="R73" s="157">
        <v>-4</v>
      </c>
      <c r="S73" s="157">
        <v>0</v>
      </c>
      <c r="T73" s="157">
        <f t="shared" si="47"/>
        <v>-4</v>
      </c>
      <c r="U73" s="37"/>
      <c r="V73" s="407">
        <v>0</v>
      </c>
      <c r="W73" s="407">
        <v>0</v>
      </c>
      <c r="X73" s="407">
        <f t="shared" si="48"/>
        <v>0</v>
      </c>
      <c r="Y73" s="46"/>
      <c r="Z73" s="46"/>
      <c r="AA73" s="39"/>
      <c r="AB73" s="248">
        <v>-3.5</v>
      </c>
      <c r="AC73" s="248">
        <v>2.5</v>
      </c>
      <c r="AD73" s="248">
        <f t="shared" si="49"/>
        <v>-1</v>
      </c>
      <c r="AE73" s="193"/>
      <c r="AF73" s="199"/>
      <c r="AG73" s="194"/>
      <c r="AH73" s="195"/>
      <c r="AI73" s="148">
        <v>0</v>
      </c>
      <c r="AJ73" s="148">
        <v>0</v>
      </c>
      <c r="AK73" s="148">
        <v>0</v>
      </c>
      <c r="AL73" s="20"/>
      <c r="AM73" s="20"/>
      <c r="AN73" s="20"/>
      <c r="AO73" s="20"/>
      <c r="AP73" s="427">
        <v>-2.2999999999999998</v>
      </c>
      <c r="AQ73" s="427"/>
      <c r="AR73" s="339">
        <f t="shared" ref="AR73:AR139" si="53">AP73+AQ73</f>
        <v>-2.2999999999999998</v>
      </c>
      <c r="AS73" s="225"/>
      <c r="AT73" s="20"/>
      <c r="AU73" s="20" t="s">
        <v>554</v>
      </c>
      <c r="AV73" s="20"/>
      <c r="AW73" s="332">
        <v>0</v>
      </c>
      <c r="AX73" s="332">
        <v>0</v>
      </c>
      <c r="AY73" s="332">
        <f t="shared" si="50"/>
        <v>0</v>
      </c>
      <c r="AZ73" s="20"/>
      <c r="BA73" s="20"/>
      <c r="BB73" s="20"/>
      <c r="BC73" s="20"/>
      <c r="BD73" s="221" t="e">
        <f>-SUMIF(#REF!,'pôles &amp; actions'!$C73,#REF!)/1000</f>
        <v>#REF!</v>
      </c>
      <c r="BE73" s="221" t="e">
        <f>SUMIF(#REF!,'pôles &amp; actions'!$C73,#REF!)/1000</f>
        <v>#REF!</v>
      </c>
      <c r="BF73" s="221" t="e">
        <f t="shared" si="7"/>
        <v>#REF!</v>
      </c>
      <c r="BG73" s="221" t="e">
        <f t="shared" si="52"/>
        <v>#REF!</v>
      </c>
      <c r="BK73" s="345"/>
      <c r="BL73" s="345"/>
      <c r="BM73" s="345">
        <f t="shared" si="51"/>
        <v>0</v>
      </c>
      <c r="BN73" s="225"/>
    </row>
    <row r="74" spans="1:66" ht="15" customHeight="1" outlineLevel="2" x14ac:dyDescent="0.25">
      <c r="A74" s="324">
        <v>67</v>
      </c>
      <c r="B74" s="385" t="s">
        <v>41</v>
      </c>
      <c r="C74" s="386" t="s">
        <v>117</v>
      </c>
      <c r="D74" s="37">
        <v>0</v>
      </c>
      <c r="E74" s="37">
        <v>0</v>
      </c>
      <c r="F74" s="37">
        <f t="shared" si="44"/>
        <v>0</v>
      </c>
      <c r="G74" s="38"/>
      <c r="H74" s="39"/>
      <c r="I74" s="37">
        <v>-3.9</v>
      </c>
      <c r="J74" s="37">
        <v>0</v>
      </c>
      <c r="K74" s="37">
        <f t="shared" si="45"/>
        <v>-3.9</v>
      </c>
      <c r="L74" s="38"/>
      <c r="M74" s="38"/>
      <c r="N74" s="37" t="e">
        <f>-SUMIF(#REF!,$C74,#REF!)/1000</f>
        <v>#REF!</v>
      </c>
      <c r="O74" s="37" t="e">
        <f>SUMIF(#REF!,$C74,#REF!)/1000</f>
        <v>#REF!</v>
      </c>
      <c r="P74" s="37" t="e">
        <f t="shared" si="46"/>
        <v>#REF!</v>
      </c>
      <c r="Q74" s="39"/>
      <c r="R74" s="157">
        <v>-3</v>
      </c>
      <c r="S74" s="157">
        <v>0</v>
      </c>
      <c r="T74" s="157">
        <f t="shared" si="47"/>
        <v>-3</v>
      </c>
      <c r="U74" s="37"/>
      <c r="V74" s="407">
        <v>0</v>
      </c>
      <c r="W74" s="407">
        <v>0</v>
      </c>
      <c r="X74" s="407">
        <f t="shared" si="48"/>
        <v>0</v>
      </c>
      <c r="Y74" s="46"/>
      <c r="Z74" s="46"/>
      <c r="AA74" s="39"/>
      <c r="AB74" s="248"/>
      <c r="AC74" s="248"/>
      <c r="AD74" s="248">
        <f t="shared" si="49"/>
        <v>0</v>
      </c>
      <c r="AE74" s="193"/>
      <c r="AF74" s="199"/>
      <c r="AG74" s="194"/>
      <c r="AH74" s="195"/>
      <c r="AI74" s="148">
        <v>0</v>
      </c>
      <c r="AJ74" s="148">
        <v>0</v>
      </c>
      <c r="AK74" s="148">
        <v>0</v>
      </c>
      <c r="AL74" s="20"/>
      <c r="AM74" s="20"/>
      <c r="AN74" s="20"/>
      <c r="AO74" s="20"/>
      <c r="AP74" s="427"/>
      <c r="AQ74" s="427"/>
      <c r="AR74" s="339">
        <f t="shared" si="53"/>
        <v>0</v>
      </c>
      <c r="AS74" s="225"/>
      <c r="AT74" s="20"/>
      <c r="AU74" s="20"/>
      <c r="AV74" s="20"/>
      <c r="AW74" s="332">
        <v>0</v>
      </c>
      <c r="AX74" s="332">
        <v>0</v>
      </c>
      <c r="AY74" s="332">
        <f t="shared" si="50"/>
        <v>0</v>
      </c>
      <c r="AZ74" s="20"/>
      <c r="BA74" s="20"/>
      <c r="BB74" s="20"/>
      <c r="BC74" s="20"/>
      <c r="BD74" s="221" t="e">
        <f>-SUMIF(#REF!,'pôles &amp; actions'!$C74,#REF!)/1000</f>
        <v>#REF!</v>
      </c>
      <c r="BE74" s="221" t="e">
        <f>SUMIF(#REF!,'pôles &amp; actions'!$C74,#REF!)/1000</f>
        <v>#REF!</v>
      </c>
      <c r="BF74" s="221" t="e">
        <f t="shared" ref="BF74:BF140" si="54">BE74+BD74</f>
        <v>#REF!</v>
      </c>
      <c r="BG74" s="221" t="e">
        <f t="shared" si="52"/>
        <v>#REF!</v>
      </c>
      <c r="BK74" s="345"/>
      <c r="BL74" s="345"/>
      <c r="BM74" s="345">
        <f t="shared" si="51"/>
        <v>0</v>
      </c>
      <c r="BN74" s="225"/>
    </row>
    <row r="75" spans="1:66" ht="15" customHeight="1" outlineLevel="2" x14ac:dyDescent="0.25">
      <c r="A75" s="324">
        <v>68</v>
      </c>
      <c r="B75" s="385" t="s">
        <v>45</v>
      </c>
      <c r="C75" s="386" t="s">
        <v>118</v>
      </c>
      <c r="D75" s="37"/>
      <c r="E75" s="37"/>
      <c r="F75" s="37"/>
      <c r="G75" s="38"/>
      <c r="H75" s="39"/>
      <c r="I75" s="37">
        <v>0</v>
      </c>
      <c r="J75" s="37">
        <v>0</v>
      </c>
      <c r="K75" s="37">
        <f t="shared" si="45"/>
        <v>0</v>
      </c>
      <c r="L75" s="38"/>
      <c r="M75" s="38"/>
      <c r="N75" s="37" t="e">
        <f>-SUMIF(#REF!,$C75,#REF!)/1000</f>
        <v>#REF!</v>
      </c>
      <c r="O75" s="37" t="e">
        <f>SUMIF(#REF!,$C75,#REF!)/1000</f>
        <v>#REF!</v>
      </c>
      <c r="P75" s="37" t="e">
        <f t="shared" si="46"/>
        <v>#REF!</v>
      </c>
      <c r="Q75" s="39"/>
      <c r="R75" s="157">
        <v>-0.6</v>
      </c>
      <c r="S75" s="157">
        <v>0</v>
      </c>
      <c r="T75" s="157">
        <f t="shared" si="47"/>
        <v>-0.6</v>
      </c>
      <c r="U75" s="37"/>
      <c r="V75" s="407">
        <v>0</v>
      </c>
      <c r="W75" s="407">
        <v>0</v>
      </c>
      <c r="X75" s="407">
        <f t="shared" si="48"/>
        <v>0</v>
      </c>
      <c r="Y75" s="46"/>
      <c r="Z75" s="46"/>
      <c r="AA75" s="39"/>
      <c r="AB75" s="248">
        <f>-2.6/3</f>
        <v>-0.8666666666666667</v>
      </c>
      <c r="AC75" s="248"/>
      <c r="AD75" s="248">
        <f t="shared" si="49"/>
        <v>-0.8666666666666667</v>
      </c>
      <c r="AE75" s="193"/>
      <c r="AF75" s="199"/>
      <c r="AG75" s="194"/>
      <c r="AH75" s="195"/>
      <c r="AI75" s="148">
        <v>-0.52525999999999995</v>
      </c>
      <c r="AJ75" s="148">
        <v>0</v>
      </c>
      <c r="AK75" s="148">
        <v>-0.52525999999999995</v>
      </c>
      <c r="AL75" s="20"/>
      <c r="AM75" s="20"/>
      <c r="AN75" s="20"/>
      <c r="AO75" s="20"/>
      <c r="AP75" s="427">
        <v>-0.52600000000000002</v>
      </c>
      <c r="AQ75" s="427"/>
      <c r="AR75" s="339">
        <f t="shared" si="53"/>
        <v>-0.52600000000000002</v>
      </c>
      <c r="AS75" s="225"/>
      <c r="AT75" s="20"/>
      <c r="AU75" s="20" t="s">
        <v>495</v>
      </c>
      <c r="AV75" s="20"/>
      <c r="AW75" s="332">
        <v>-0.52525999999999995</v>
      </c>
      <c r="AX75" s="332">
        <v>0</v>
      </c>
      <c r="AY75" s="332">
        <f t="shared" si="50"/>
        <v>-0.52525999999999995</v>
      </c>
      <c r="AZ75" s="20"/>
      <c r="BA75" s="20"/>
      <c r="BB75" s="20"/>
      <c r="BC75" s="20"/>
      <c r="BD75" s="221" t="e">
        <f>-SUMIF(#REF!,'pôles &amp; actions'!$C75,#REF!)/1000</f>
        <v>#REF!</v>
      </c>
      <c r="BE75" s="221" t="e">
        <f>SUMIF(#REF!,'pôles &amp; actions'!$C75,#REF!)/1000</f>
        <v>#REF!</v>
      </c>
      <c r="BF75" s="221" t="e">
        <f t="shared" si="54"/>
        <v>#REF!</v>
      </c>
      <c r="BG75" s="221" t="e">
        <f t="shared" si="52"/>
        <v>#REF!</v>
      </c>
      <c r="BK75" s="345"/>
      <c r="BL75" s="345"/>
      <c r="BM75" s="345">
        <f t="shared" si="51"/>
        <v>0</v>
      </c>
      <c r="BN75" s="225"/>
    </row>
    <row r="76" spans="1:66" ht="15" customHeight="1" outlineLevel="1" x14ac:dyDescent="0.25">
      <c r="A76" s="324">
        <v>69</v>
      </c>
      <c r="B76" s="392" t="s">
        <v>119</v>
      </c>
      <c r="C76" s="393"/>
      <c r="D76" s="41">
        <f>SUM(D70:D74)</f>
        <v>-6</v>
      </c>
      <c r="E76" s="41">
        <f>SUM(E70:E74)</f>
        <v>10</v>
      </c>
      <c r="F76" s="41">
        <f t="shared" si="44"/>
        <v>4</v>
      </c>
      <c r="G76" s="38"/>
      <c r="H76" s="39"/>
      <c r="I76" s="41">
        <f>SUM(I70:I75)</f>
        <v>-7.6999999999999993</v>
      </c>
      <c r="J76" s="41">
        <f>SUM(J70:J75)</f>
        <v>0.7</v>
      </c>
      <c r="K76" s="41">
        <f>SUM(I76:J76)</f>
        <v>-6.9999999999999991</v>
      </c>
      <c r="L76" s="38"/>
      <c r="M76" s="38"/>
      <c r="N76" s="41" t="e">
        <f>SUM(N70:N75)</f>
        <v>#REF!</v>
      </c>
      <c r="O76" s="41" t="e">
        <f>SUM(O70:O75)</f>
        <v>#REF!</v>
      </c>
      <c r="P76" s="41" t="e">
        <f>SUM(P70:P75)</f>
        <v>#REF!</v>
      </c>
      <c r="Q76" s="39"/>
      <c r="R76" s="158">
        <f>SUM(R70:R75)</f>
        <v>-11.5</v>
      </c>
      <c r="S76" s="158">
        <f>SUM(S70:S75)</f>
        <v>0</v>
      </c>
      <c r="T76" s="158">
        <f>SUM(T70:T75)</f>
        <v>-11.5</v>
      </c>
      <c r="U76" s="41"/>
      <c r="V76" s="408">
        <f>SUM(V70:V75)</f>
        <v>-7.1838100000000011</v>
      </c>
      <c r="W76" s="408">
        <f>SUM(W70:W75)</f>
        <v>0</v>
      </c>
      <c r="X76" s="408">
        <f>SUM(X70:X75)</f>
        <v>-7.1838100000000011</v>
      </c>
      <c r="Y76" s="80"/>
      <c r="Z76" s="80">
        <f t="shared" ref="Z76" si="55">SUM(Z70:Z75)</f>
        <v>0</v>
      </c>
      <c r="AA76" s="39"/>
      <c r="AB76" s="249">
        <f>SUM(AB70:AB75)</f>
        <v>-5.1666666666666661</v>
      </c>
      <c r="AC76" s="249">
        <f>SUM(AC70:AC75)</f>
        <v>2.5</v>
      </c>
      <c r="AD76" s="249">
        <f>SUM(AD70:AD75)</f>
        <v>-2.666666666666667</v>
      </c>
      <c r="AE76" s="41"/>
      <c r="AF76" s="80"/>
      <c r="AG76" s="194"/>
      <c r="AH76" s="195"/>
      <c r="AI76" s="149">
        <f>SUM(AI70:AI75)</f>
        <v>-4.0222600000000002</v>
      </c>
      <c r="AJ76" s="149">
        <f>SUM(AJ70:AJ75)</f>
        <v>2.258</v>
      </c>
      <c r="AK76" s="149">
        <f>AJ76+AI76</f>
        <v>-1.7642600000000002</v>
      </c>
      <c r="AL76" s="81"/>
      <c r="AM76" s="81"/>
      <c r="AN76" s="81"/>
      <c r="AO76" s="81"/>
      <c r="AP76" s="428">
        <f>SUM(AP70:AP75)</f>
        <v>-4.226</v>
      </c>
      <c r="AQ76" s="429">
        <f>SUM(AQ70:AQ75)</f>
        <v>0</v>
      </c>
      <c r="AR76" s="428">
        <f>SUM(AR70:AR75)</f>
        <v>-4.226</v>
      </c>
      <c r="AS76" s="226"/>
      <c r="AT76" s="81"/>
      <c r="AU76" s="81"/>
      <c r="AV76" s="81"/>
      <c r="AW76" s="333">
        <f>SUM(AW70:AW75)</f>
        <v>-4.5301099999999996</v>
      </c>
      <c r="AX76" s="333">
        <f>SUM(AX70:AX75)</f>
        <v>0</v>
      </c>
      <c r="AY76" s="333">
        <f t="shared" si="50"/>
        <v>-4.5301099999999996</v>
      </c>
      <c r="AZ76" s="81"/>
      <c r="BA76" s="81"/>
      <c r="BB76" s="81"/>
      <c r="BC76" s="81"/>
      <c r="BD76" s="227" t="e">
        <f>SUM(BD70:BD75)</f>
        <v>#REF!</v>
      </c>
      <c r="BE76" s="227" t="e">
        <f>SUM(BE70:BE75)</f>
        <v>#REF!</v>
      </c>
      <c r="BF76" s="227" t="e">
        <f t="shared" si="54"/>
        <v>#REF!</v>
      </c>
      <c r="BG76" s="221" t="e">
        <f t="shared" si="52"/>
        <v>#REF!</v>
      </c>
      <c r="BK76" s="444">
        <f>SUM(BK70:BK75)</f>
        <v>-5.6</v>
      </c>
      <c r="BL76" s="445">
        <f>SUM(BL70:BL75)</f>
        <v>0</v>
      </c>
      <c r="BM76" s="444">
        <f>SUM(BM70:BM75)</f>
        <v>-5.6</v>
      </c>
      <c r="BN76" s="226"/>
    </row>
    <row r="77" spans="1:66" ht="15" customHeight="1" outlineLevel="2" x14ac:dyDescent="0.25">
      <c r="A77" s="324">
        <v>70</v>
      </c>
      <c r="B77" s="385" t="s">
        <v>37</v>
      </c>
      <c r="C77" s="386" t="s">
        <v>120</v>
      </c>
      <c r="D77" s="37">
        <v>-3</v>
      </c>
      <c r="E77" s="37">
        <v>0</v>
      </c>
      <c r="F77" s="37">
        <f t="shared" ref="F77:F83" si="56">SUM(D77:E77)</f>
        <v>-3</v>
      </c>
      <c r="G77" s="38"/>
      <c r="H77" s="39"/>
      <c r="I77" s="37">
        <v>-3.85</v>
      </c>
      <c r="J77" s="37">
        <v>1.94</v>
      </c>
      <c r="K77" s="37">
        <f t="shared" ref="K77:K84" si="57">SUM(I77:J77)</f>
        <v>-1.9100000000000001</v>
      </c>
      <c r="L77" s="38"/>
      <c r="M77" s="38"/>
      <c r="N77" s="37" t="e">
        <f>-SUMIF(#REF!,$C77,#REF!)/1000</f>
        <v>#REF!</v>
      </c>
      <c r="O77" s="37" t="e">
        <f>SUMIF(#REF!,$C77,#REF!)/1000</f>
        <v>#REF!</v>
      </c>
      <c r="P77" s="37" t="e">
        <f t="shared" ref="P77:P84" si="58">N77+O77</f>
        <v>#REF!</v>
      </c>
      <c r="Q77" s="39"/>
      <c r="R77" s="157">
        <v>-7.72</v>
      </c>
      <c r="S77" s="157">
        <v>3</v>
      </c>
      <c r="T77" s="157">
        <f t="shared" ref="T77:T84" si="59">R77+S77</f>
        <v>-4.72</v>
      </c>
      <c r="U77" s="37"/>
      <c r="V77" s="407">
        <v>-0.21859999999999999</v>
      </c>
      <c r="W77" s="407">
        <v>0.13</v>
      </c>
      <c r="X77" s="407">
        <f>SUM(V77:W77)</f>
        <v>-8.8599999999999984E-2</v>
      </c>
      <c r="Y77" s="46"/>
      <c r="Z77" s="133"/>
      <c r="AA77" s="39"/>
      <c r="AB77" s="248">
        <v>-3.5</v>
      </c>
      <c r="AC77" s="248">
        <v>2</v>
      </c>
      <c r="AD77" s="248">
        <f t="shared" ref="AD77:AD84" si="60">AB77+AC77</f>
        <v>-1.5</v>
      </c>
      <c r="AE77" s="37"/>
      <c r="AF77" s="46"/>
      <c r="AG77" s="194"/>
      <c r="AH77" s="195"/>
      <c r="AI77" s="148">
        <v>-3.7591700000000001</v>
      </c>
      <c r="AJ77" s="148">
        <v>2.6177700000000002</v>
      </c>
      <c r="AK77" s="148">
        <v>-1.1414</v>
      </c>
      <c r="AL77" s="20"/>
      <c r="AM77" s="20"/>
      <c r="AN77" s="20"/>
      <c r="AO77" s="20"/>
      <c r="AP77" s="339">
        <v>-12.3</v>
      </c>
      <c r="AQ77" s="339">
        <v>5.9</v>
      </c>
      <c r="AR77" s="339">
        <f t="shared" si="53"/>
        <v>-6.4</v>
      </c>
      <c r="AS77" s="225"/>
      <c r="AT77" s="268">
        <v>2</v>
      </c>
      <c r="AU77" s="20" t="s">
        <v>496</v>
      </c>
      <c r="AV77" s="20"/>
      <c r="AW77" s="332">
        <v>-3.7598000000000003</v>
      </c>
      <c r="AX77" s="332">
        <v>2.5439000000000003</v>
      </c>
      <c r="AY77" s="332">
        <f t="shared" si="50"/>
        <v>-1.2159</v>
      </c>
      <c r="AZ77" s="20"/>
      <c r="BA77" s="20"/>
      <c r="BB77" s="20"/>
      <c r="BC77" s="20"/>
      <c r="BD77" s="221" t="e">
        <f>-SUMIF(#REF!,'pôles &amp; actions'!$C77,#REF!)/1000</f>
        <v>#REF!</v>
      </c>
      <c r="BE77" s="221" t="e">
        <f>SUMIF(#REF!,'pôles &amp; actions'!$C77,#REF!)/1000</f>
        <v>#REF!</v>
      </c>
      <c r="BF77" s="221" t="e">
        <f t="shared" si="54"/>
        <v>#REF!</v>
      </c>
      <c r="BG77" s="221" t="e">
        <f t="shared" si="52"/>
        <v>#REF!</v>
      </c>
      <c r="BK77" s="345">
        <v>-15.811999999999999</v>
      </c>
      <c r="BL77" s="345">
        <v>8.6</v>
      </c>
      <c r="BM77" s="345">
        <f t="shared" ref="BM77:BM92" si="61">BK77+BL77</f>
        <v>-7.2119999999999997</v>
      </c>
      <c r="BN77" s="225"/>
    </row>
    <row r="78" spans="1:66" ht="15" customHeight="1" outlineLevel="2" x14ac:dyDescent="0.25">
      <c r="A78" s="324">
        <v>71</v>
      </c>
      <c r="B78" s="385" t="s">
        <v>215</v>
      </c>
      <c r="C78" s="386" t="s">
        <v>594</v>
      </c>
      <c r="D78" s="37"/>
      <c r="E78" s="37"/>
      <c r="F78" s="37"/>
      <c r="G78" s="38"/>
      <c r="H78" s="39"/>
      <c r="I78" s="37"/>
      <c r="J78" s="37"/>
      <c r="K78" s="37"/>
      <c r="L78" s="38"/>
      <c r="M78" s="38"/>
      <c r="N78" s="37"/>
      <c r="O78" s="37"/>
      <c r="P78" s="37">
        <f t="shared" si="58"/>
        <v>0</v>
      </c>
      <c r="Q78" s="39"/>
      <c r="R78" s="157"/>
      <c r="S78" s="157"/>
      <c r="T78" s="157">
        <f t="shared" si="59"/>
        <v>0</v>
      </c>
      <c r="U78" s="37"/>
      <c r="V78" s="407"/>
      <c r="W78" s="407"/>
      <c r="X78" s="407"/>
      <c r="Y78" s="46"/>
      <c r="Z78" s="133"/>
      <c r="AA78" s="39"/>
      <c r="AB78" s="248"/>
      <c r="AC78" s="248"/>
      <c r="AD78" s="248"/>
      <c r="AE78" s="37"/>
      <c r="AF78" s="46"/>
      <c r="AG78" s="194"/>
      <c r="AH78" s="195"/>
      <c r="AI78" s="148"/>
      <c r="AJ78" s="148"/>
      <c r="AK78" s="148">
        <v>-1.1414</v>
      </c>
      <c r="AL78" s="20"/>
      <c r="AM78" s="20"/>
      <c r="AN78" s="20"/>
      <c r="AO78" s="20"/>
      <c r="AP78" s="339"/>
      <c r="AQ78" s="339"/>
      <c r="AR78" s="339">
        <f t="shared" si="53"/>
        <v>0</v>
      </c>
      <c r="AS78" s="225"/>
      <c r="AT78" s="268"/>
      <c r="AU78" s="20"/>
      <c r="AV78" s="20"/>
      <c r="AW78" s="332">
        <v>-4.6787799999999997</v>
      </c>
      <c r="AX78" s="332">
        <v>3.3323800000000001</v>
      </c>
      <c r="AY78" s="332">
        <f t="shared" si="50"/>
        <v>-1.3463999999999996</v>
      </c>
      <c r="AZ78" s="20"/>
      <c r="BA78" s="20"/>
      <c r="BB78" s="20"/>
      <c r="BC78" s="20"/>
      <c r="BD78" s="221" t="e">
        <f>-SUMIF(#REF!,'pôles &amp; actions'!$C78,#REF!)/1000</f>
        <v>#REF!</v>
      </c>
      <c r="BE78" s="221" t="e">
        <f>SUMIF(#REF!,'pôles &amp; actions'!$C78,#REF!)/1000</f>
        <v>#REF!</v>
      </c>
      <c r="BF78" s="221" t="e">
        <f t="shared" ref="BF78" si="62">BE78+BD78</f>
        <v>#REF!</v>
      </c>
      <c r="BG78" s="221" t="e">
        <f t="shared" si="52"/>
        <v>#REF!</v>
      </c>
      <c r="BK78" s="345"/>
      <c r="BL78" s="345"/>
      <c r="BM78" s="345">
        <f t="shared" si="61"/>
        <v>0</v>
      </c>
      <c r="BN78" s="225"/>
    </row>
    <row r="79" spans="1:66" ht="15" customHeight="1" outlineLevel="2" x14ac:dyDescent="0.25">
      <c r="A79" s="324">
        <v>72</v>
      </c>
      <c r="B79" s="385" t="s">
        <v>49</v>
      </c>
      <c r="C79" s="386" t="s">
        <v>121</v>
      </c>
      <c r="D79" s="37">
        <v>-5</v>
      </c>
      <c r="E79" s="37">
        <v>2</v>
      </c>
      <c r="F79" s="37">
        <f t="shared" si="56"/>
        <v>-3</v>
      </c>
      <c r="G79" s="38"/>
      <c r="H79" s="39"/>
      <c r="I79" s="37">
        <v>-4.056</v>
      </c>
      <c r="J79" s="37">
        <v>2.74</v>
      </c>
      <c r="K79" s="37">
        <f t="shared" si="57"/>
        <v>-1.3159999999999998</v>
      </c>
      <c r="L79" s="38"/>
      <c r="M79" s="38"/>
      <c r="N79" s="37" t="e">
        <f>-SUMIF(#REF!,$C79,#REF!)/1000</f>
        <v>#REF!</v>
      </c>
      <c r="O79" s="37" t="e">
        <f>SUMIF(#REF!,$C79,#REF!)/1000</f>
        <v>#REF!</v>
      </c>
      <c r="P79" s="37" t="e">
        <f t="shared" si="58"/>
        <v>#REF!</v>
      </c>
      <c r="Q79" s="39"/>
      <c r="R79" s="157">
        <v>-9</v>
      </c>
      <c r="S79" s="157">
        <v>6.5</v>
      </c>
      <c r="T79" s="157">
        <f t="shared" si="59"/>
        <v>-2.5</v>
      </c>
      <c r="U79" s="37"/>
      <c r="V79" s="407">
        <v>0</v>
      </c>
      <c r="W79" s="407">
        <v>0</v>
      </c>
      <c r="X79" s="407">
        <f t="shared" ref="X79:X84" si="63">SUM(V79:W79)</f>
        <v>0</v>
      </c>
      <c r="Y79" s="46"/>
      <c r="Z79" s="131" t="s">
        <v>415</v>
      </c>
      <c r="AA79" s="39"/>
      <c r="AB79" s="248">
        <v>-4</v>
      </c>
      <c r="AC79" s="248">
        <v>3.5</v>
      </c>
      <c r="AD79" s="248">
        <f t="shared" si="60"/>
        <v>-0.5</v>
      </c>
      <c r="AE79" s="37"/>
      <c r="AF79" s="46"/>
      <c r="AG79" s="194"/>
      <c r="AH79" s="195"/>
      <c r="AI79" s="148">
        <v>-1.44224</v>
      </c>
      <c r="AJ79" s="148">
        <v>1.61097</v>
      </c>
      <c r="AK79" s="148">
        <v>0.16873000000000005</v>
      </c>
      <c r="AL79" s="20"/>
      <c r="AM79" s="20"/>
      <c r="AN79" s="20"/>
      <c r="AO79" s="20"/>
      <c r="AP79" s="339">
        <v>-4.5999999999999996</v>
      </c>
      <c r="AQ79" s="339">
        <v>3.9</v>
      </c>
      <c r="AR79" s="339">
        <f t="shared" si="53"/>
        <v>-0.69999999999999973</v>
      </c>
      <c r="AS79" s="225"/>
      <c r="AT79" s="269">
        <v>4.5999999999999996</v>
      </c>
      <c r="AU79" s="20" t="s">
        <v>497</v>
      </c>
      <c r="AV79" s="20"/>
      <c r="AW79" s="332">
        <v>-2.3624900000000002</v>
      </c>
      <c r="AX79" s="332">
        <v>3.0492199999999996</v>
      </c>
      <c r="AY79" s="332">
        <f t="shared" si="50"/>
        <v>0.6867299999999994</v>
      </c>
      <c r="AZ79" s="20"/>
      <c r="BA79" s="20"/>
      <c r="BB79" s="20"/>
      <c r="BC79" s="20"/>
      <c r="BD79" s="221" t="e">
        <f>-SUMIF(#REF!,'pôles &amp; actions'!$C79,#REF!)/1000</f>
        <v>#REF!</v>
      </c>
      <c r="BE79" s="221" t="e">
        <f>SUMIF(#REF!,'pôles &amp; actions'!$C79,#REF!)/1000</f>
        <v>#REF!</v>
      </c>
      <c r="BF79" s="221" t="e">
        <f t="shared" si="54"/>
        <v>#REF!</v>
      </c>
      <c r="BG79" s="221" t="e">
        <f t="shared" si="52"/>
        <v>#REF!</v>
      </c>
      <c r="BK79" s="345">
        <v>-9.1</v>
      </c>
      <c r="BL79" s="345">
        <v>8.4</v>
      </c>
      <c r="BM79" s="345">
        <f t="shared" si="61"/>
        <v>-0.69999999999999929</v>
      </c>
      <c r="BN79" s="225"/>
    </row>
    <row r="80" spans="1:66" ht="15" customHeight="1" outlineLevel="2" x14ac:dyDescent="0.25">
      <c r="A80" s="324">
        <v>73</v>
      </c>
      <c r="B80" s="385" t="s">
        <v>39</v>
      </c>
      <c r="C80" s="386" t="s">
        <v>122</v>
      </c>
      <c r="D80" s="37">
        <v>-1</v>
      </c>
      <c r="E80" s="37">
        <v>0</v>
      </c>
      <c r="F80" s="37">
        <f t="shared" si="56"/>
        <v>-1</v>
      </c>
      <c r="G80" s="38"/>
      <c r="H80" s="39"/>
      <c r="I80" s="37">
        <v>-0.2</v>
      </c>
      <c r="J80" s="37">
        <v>0.2</v>
      </c>
      <c r="K80" s="37">
        <f t="shared" si="57"/>
        <v>0</v>
      </c>
      <c r="L80" s="38"/>
      <c r="M80" s="38"/>
      <c r="N80" s="37" t="e">
        <f>-SUMIF(#REF!,$C80,#REF!)/1000</f>
        <v>#REF!</v>
      </c>
      <c r="O80" s="37" t="e">
        <f>SUMIF(#REF!,$C80,#REF!)/1000</f>
        <v>#REF!</v>
      </c>
      <c r="P80" s="37" t="e">
        <f t="shared" si="58"/>
        <v>#REF!</v>
      </c>
      <c r="Q80" s="39"/>
      <c r="R80" s="157">
        <v>-1</v>
      </c>
      <c r="S80" s="157">
        <v>0</v>
      </c>
      <c r="T80" s="157">
        <f t="shared" si="59"/>
        <v>-1</v>
      </c>
      <c r="U80" s="37"/>
      <c r="V80" s="407">
        <v>-0.56037000000000003</v>
      </c>
      <c r="W80" s="407">
        <v>0</v>
      </c>
      <c r="X80" s="407">
        <f t="shared" si="63"/>
        <v>-0.56037000000000003</v>
      </c>
      <c r="Y80" s="46"/>
      <c r="Z80" s="131" t="s">
        <v>415</v>
      </c>
      <c r="AA80" s="39"/>
      <c r="AB80" s="248">
        <v>-0.2</v>
      </c>
      <c r="AC80" s="248"/>
      <c r="AD80" s="248">
        <f t="shared" si="60"/>
        <v>-0.2</v>
      </c>
      <c r="AE80" s="37"/>
      <c r="AF80" s="46"/>
      <c r="AG80" s="194"/>
      <c r="AH80" s="195"/>
      <c r="AI80" s="148">
        <v>-0.19522</v>
      </c>
      <c r="AJ80" s="148">
        <v>0.11</v>
      </c>
      <c r="AK80" s="148">
        <v>-8.5220000000000004E-2</v>
      </c>
      <c r="AL80" s="20"/>
      <c r="AM80" s="20"/>
      <c r="AN80" s="20"/>
      <c r="AO80" s="20"/>
      <c r="AP80" s="339">
        <v>-1</v>
      </c>
      <c r="AQ80" s="339"/>
      <c r="AR80" s="339">
        <f t="shared" si="53"/>
        <v>-1</v>
      </c>
      <c r="AS80" s="225"/>
      <c r="AT80" s="20"/>
      <c r="AU80" s="20"/>
      <c r="AV80" s="20"/>
      <c r="AW80" s="332">
        <v>-0.70993000000000006</v>
      </c>
      <c r="AX80" s="332">
        <v>0.08</v>
      </c>
      <c r="AY80" s="332">
        <f t="shared" si="50"/>
        <v>-0.6299300000000001</v>
      </c>
      <c r="AZ80" s="20"/>
      <c r="BA80" s="20"/>
      <c r="BB80" s="20"/>
      <c r="BC80" s="20"/>
      <c r="BD80" s="221" t="e">
        <f>-SUMIF(#REF!,'pôles &amp; actions'!$C80,#REF!)/1000</f>
        <v>#REF!</v>
      </c>
      <c r="BE80" s="221" t="e">
        <f>SUMIF(#REF!,'pôles &amp; actions'!$C80,#REF!)/1000</f>
        <v>#REF!</v>
      </c>
      <c r="BF80" s="221" t="e">
        <f t="shared" si="54"/>
        <v>#REF!</v>
      </c>
      <c r="BG80" s="221" t="e">
        <f t="shared" si="52"/>
        <v>#REF!</v>
      </c>
      <c r="BK80" s="345">
        <v>-1</v>
      </c>
      <c r="BL80" s="345"/>
      <c r="BM80" s="345">
        <f t="shared" si="61"/>
        <v>-1</v>
      </c>
      <c r="BN80" s="225"/>
    </row>
    <row r="81" spans="1:66" ht="15" customHeight="1" outlineLevel="2" x14ac:dyDescent="0.25">
      <c r="A81" s="324">
        <v>74</v>
      </c>
      <c r="B81" s="385" t="s">
        <v>43</v>
      </c>
      <c r="C81" s="386" t="s">
        <v>123</v>
      </c>
      <c r="D81" s="37">
        <v>-2</v>
      </c>
      <c r="E81" s="37">
        <v>0</v>
      </c>
      <c r="F81" s="37">
        <f t="shared" si="56"/>
        <v>-2</v>
      </c>
      <c r="G81" s="38"/>
      <c r="H81" s="39"/>
      <c r="I81" s="37">
        <v>-3.8</v>
      </c>
      <c r="J81" s="37">
        <v>1.1000000000000001</v>
      </c>
      <c r="K81" s="37">
        <f t="shared" si="57"/>
        <v>-2.6999999999999997</v>
      </c>
      <c r="L81" s="38"/>
      <c r="M81" s="38"/>
      <c r="N81" s="37" t="e">
        <f>-SUMIF(#REF!,$C81,#REF!)/1000</f>
        <v>#REF!</v>
      </c>
      <c r="O81" s="37" t="e">
        <f>SUMIF(#REF!,$C81,#REF!)/1000</f>
        <v>#REF!</v>
      </c>
      <c r="P81" s="37" t="e">
        <f t="shared" si="58"/>
        <v>#REF!</v>
      </c>
      <c r="Q81" s="39"/>
      <c r="R81" s="157">
        <v>-4.5</v>
      </c>
      <c r="S81" s="157">
        <v>1</v>
      </c>
      <c r="T81" s="157">
        <f t="shared" si="59"/>
        <v>-3.5</v>
      </c>
      <c r="U81" s="37"/>
      <c r="V81" s="407">
        <v>-1.5552999999999999</v>
      </c>
      <c r="W81" s="407">
        <v>1.2871600000000001</v>
      </c>
      <c r="X81" s="407">
        <f t="shared" si="63"/>
        <v>-0.26813999999999982</v>
      </c>
      <c r="Y81" s="46"/>
      <c r="Z81" s="131" t="s">
        <v>415</v>
      </c>
      <c r="AA81" s="39"/>
      <c r="AB81" s="248">
        <v>-1.4</v>
      </c>
      <c r="AC81" s="248">
        <v>0.5</v>
      </c>
      <c r="AD81" s="248">
        <f t="shared" si="60"/>
        <v>-0.89999999999999991</v>
      </c>
      <c r="AE81" s="37"/>
      <c r="AF81" s="46"/>
      <c r="AG81" s="194"/>
      <c r="AH81" s="195"/>
      <c r="AI81" s="148">
        <v>-2.6317399999999997</v>
      </c>
      <c r="AJ81" s="148">
        <v>2.0039400000000001</v>
      </c>
      <c r="AK81" s="148">
        <v>-0.62779999999999969</v>
      </c>
      <c r="AL81" s="20"/>
      <c r="AM81" s="20"/>
      <c r="AN81" s="20"/>
      <c r="AO81" s="20"/>
      <c r="AP81" s="339">
        <v>-6</v>
      </c>
      <c r="AQ81" s="339">
        <v>2.8</v>
      </c>
      <c r="AR81" s="339">
        <f t="shared" si="53"/>
        <v>-3.2</v>
      </c>
      <c r="AS81" s="225"/>
      <c r="AT81" s="269">
        <v>6</v>
      </c>
      <c r="AU81" s="20" t="s">
        <v>498</v>
      </c>
      <c r="AV81" s="20"/>
      <c r="AW81" s="332">
        <v>-9.1199300000000001</v>
      </c>
      <c r="AX81" s="332">
        <v>6.7462200000000001</v>
      </c>
      <c r="AY81" s="332">
        <f t="shared" si="50"/>
        <v>-2.37371</v>
      </c>
      <c r="AZ81" s="20"/>
      <c r="BA81" s="20"/>
      <c r="BB81" s="20"/>
      <c r="BC81" s="20"/>
      <c r="BD81" s="221" t="e">
        <f>-SUMIF(#REF!,'pôles &amp; actions'!$C81,#REF!)/1000</f>
        <v>#REF!</v>
      </c>
      <c r="BE81" s="221" t="e">
        <f>SUMIF(#REF!,'pôles &amp; actions'!$C81,#REF!)/1000</f>
        <v>#REF!</v>
      </c>
      <c r="BF81" s="221" t="e">
        <f t="shared" si="54"/>
        <v>#REF!</v>
      </c>
      <c r="BG81" s="221" t="e">
        <f t="shared" si="52"/>
        <v>#REF!</v>
      </c>
      <c r="BK81" s="345">
        <v>-6</v>
      </c>
      <c r="BL81" s="345">
        <v>2.8</v>
      </c>
      <c r="BM81" s="345">
        <f t="shared" si="61"/>
        <v>-3.2</v>
      </c>
      <c r="BN81" s="225"/>
    </row>
    <row r="82" spans="1:66" ht="15" customHeight="1" outlineLevel="2" x14ac:dyDescent="0.25">
      <c r="A82" s="324">
        <v>75</v>
      </c>
      <c r="B82" s="385" t="s">
        <v>115</v>
      </c>
      <c r="C82" s="386" t="s">
        <v>124</v>
      </c>
      <c r="D82" s="37">
        <v>-0.5</v>
      </c>
      <c r="E82" s="37">
        <v>0</v>
      </c>
      <c r="F82" s="37">
        <f t="shared" si="56"/>
        <v>-0.5</v>
      </c>
      <c r="G82" s="38"/>
      <c r="H82" s="39"/>
      <c r="I82" s="37">
        <v>0</v>
      </c>
      <c r="J82" s="37">
        <v>0</v>
      </c>
      <c r="K82" s="37">
        <f t="shared" si="57"/>
        <v>0</v>
      </c>
      <c r="L82" s="38"/>
      <c r="M82" s="38"/>
      <c r="N82" s="37" t="e">
        <f>-SUMIF(#REF!,$C82,#REF!)/1000</f>
        <v>#REF!</v>
      </c>
      <c r="O82" s="37" t="e">
        <f>SUMIF(#REF!,$C82,#REF!)/1000</f>
        <v>#REF!</v>
      </c>
      <c r="P82" s="37" t="e">
        <f t="shared" si="58"/>
        <v>#REF!</v>
      </c>
      <c r="Q82" s="39"/>
      <c r="R82" s="157">
        <v>-0.3</v>
      </c>
      <c r="S82" s="157">
        <v>0</v>
      </c>
      <c r="T82" s="157">
        <f t="shared" si="59"/>
        <v>-0.3</v>
      </c>
      <c r="U82" s="37"/>
      <c r="V82" s="407">
        <v>-0.36524000000000001</v>
      </c>
      <c r="W82" s="407">
        <v>0.06</v>
      </c>
      <c r="X82" s="407">
        <f t="shared" si="63"/>
        <v>-0.30524000000000001</v>
      </c>
      <c r="Y82" s="46"/>
      <c r="Z82" s="46"/>
      <c r="AA82" s="39"/>
      <c r="AB82" s="248">
        <v>-0.5</v>
      </c>
      <c r="AC82" s="248">
        <v>0.3</v>
      </c>
      <c r="AD82" s="248">
        <f t="shared" si="60"/>
        <v>-0.2</v>
      </c>
      <c r="AE82" s="37"/>
      <c r="AF82" s="46"/>
      <c r="AG82" s="194"/>
      <c r="AH82" s="195"/>
      <c r="AI82" s="148">
        <v>-1.02535</v>
      </c>
      <c r="AJ82" s="148">
        <v>0.92</v>
      </c>
      <c r="AK82" s="148">
        <v>-0.10534999999999994</v>
      </c>
      <c r="AL82" s="20"/>
      <c r="AM82" s="20"/>
      <c r="AN82" s="20"/>
      <c r="AO82" s="20"/>
      <c r="AP82" s="339">
        <v>-1</v>
      </c>
      <c r="AQ82" s="339">
        <v>0.8</v>
      </c>
      <c r="AR82" s="339">
        <f t="shared" si="53"/>
        <v>-0.19999999999999996</v>
      </c>
      <c r="AS82" s="225"/>
      <c r="AT82" s="20"/>
      <c r="AU82" s="20" t="s">
        <v>499</v>
      </c>
      <c r="AV82" s="20"/>
      <c r="AW82" s="332">
        <v>-3.8689</v>
      </c>
      <c r="AX82" s="332">
        <v>1.579</v>
      </c>
      <c r="AY82" s="332">
        <f t="shared" si="50"/>
        <v>-2.2899000000000003</v>
      </c>
      <c r="AZ82" s="20"/>
      <c r="BA82" s="20"/>
      <c r="BB82" s="20"/>
      <c r="BC82" s="20"/>
      <c r="BD82" s="221" t="e">
        <f>-SUMIF(#REF!,'pôles &amp; actions'!$C82,#REF!)/1000</f>
        <v>#REF!</v>
      </c>
      <c r="BE82" s="221" t="e">
        <f>SUMIF(#REF!,'pôles &amp; actions'!$C82,#REF!)/1000</f>
        <v>#REF!</v>
      </c>
      <c r="BF82" s="221" t="e">
        <f t="shared" si="54"/>
        <v>#REF!</v>
      </c>
      <c r="BG82" s="221" t="e">
        <f t="shared" si="52"/>
        <v>#REF!</v>
      </c>
      <c r="BK82" s="345">
        <v>-3.6</v>
      </c>
      <c r="BL82" s="345">
        <v>1.9</v>
      </c>
      <c r="BM82" s="345">
        <f t="shared" si="61"/>
        <v>-1.7000000000000002</v>
      </c>
      <c r="BN82" s="225"/>
    </row>
    <row r="83" spans="1:66" ht="15" customHeight="1" outlineLevel="2" x14ac:dyDescent="0.25">
      <c r="A83" s="324">
        <v>76</v>
      </c>
      <c r="B83" s="385" t="s">
        <v>41</v>
      </c>
      <c r="C83" s="386" t="s">
        <v>125</v>
      </c>
      <c r="D83" s="37">
        <v>-4</v>
      </c>
      <c r="E83" s="37">
        <v>0</v>
      </c>
      <c r="F83" s="37">
        <f t="shared" si="56"/>
        <v>-4</v>
      </c>
      <c r="G83" s="38"/>
      <c r="H83" s="39"/>
      <c r="I83" s="37">
        <v>-3.5870000000000002</v>
      </c>
      <c r="J83" s="37">
        <v>1</v>
      </c>
      <c r="K83" s="37">
        <f t="shared" si="57"/>
        <v>-2.5870000000000002</v>
      </c>
      <c r="L83" s="38"/>
      <c r="M83" s="38"/>
      <c r="N83" s="37" t="e">
        <f>-SUMIF(#REF!,$C83,#REF!)/1000</f>
        <v>#REF!</v>
      </c>
      <c r="O83" s="37" t="e">
        <f>SUMIF(#REF!,$C83,#REF!)/1000</f>
        <v>#REF!</v>
      </c>
      <c r="P83" s="37" t="e">
        <f t="shared" si="58"/>
        <v>#REF!</v>
      </c>
      <c r="Q83" s="39"/>
      <c r="R83" s="157">
        <v>-9.4</v>
      </c>
      <c r="S83" s="157">
        <v>2.8</v>
      </c>
      <c r="T83" s="157">
        <f t="shared" si="59"/>
        <v>-6.6000000000000005</v>
      </c>
      <c r="U83" s="37"/>
      <c r="V83" s="407">
        <v>-3.6169100000000003</v>
      </c>
      <c r="W83" s="407">
        <v>0</v>
      </c>
      <c r="X83" s="407">
        <f t="shared" si="63"/>
        <v>-3.6169100000000003</v>
      </c>
      <c r="Y83" s="46"/>
      <c r="Z83" s="46"/>
      <c r="AA83" s="39"/>
      <c r="AB83" s="248">
        <v>-3</v>
      </c>
      <c r="AC83" s="248">
        <v>1</v>
      </c>
      <c r="AD83" s="248">
        <f t="shared" si="60"/>
        <v>-2</v>
      </c>
      <c r="AE83" s="37"/>
      <c r="AG83" s="194"/>
      <c r="AH83" s="195"/>
      <c r="AI83" s="148">
        <v>-2.6477499999999998</v>
      </c>
      <c r="AJ83" s="148">
        <v>1</v>
      </c>
      <c r="AK83" s="148">
        <v>-1.6477499999999998</v>
      </c>
      <c r="AL83" s="20"/>
      <c r="AM83" s="20"/>
      <c r="AN83" s="20"/>
      <c r="AO83" s="20"/>
      <c r="AP83" s="339">
        <v>-9</v>
      </c>
      <c r="AQ83" s="339">
        <v>5</v>
      </c>
      <c r="AR83" s="339">
        <f t="shared" si="53"/>
        <v>-4</v>
      </c>
      <c r="AS83" s="225"/>
      <c r="AT83" s="268">
        <v>8</v>
      </c>
      <c r="AU83" s="20" t="s">
        <v>500</v>
      </c>
      <c r="AV83" s="20"/>
      <c r="AW83" s="332">
        <v>-0.61199000000000003</v>
      </c>
      <c r="AX83" s="332">
        <v>2.1520000000000001</v>
      </c>
      <c r="AY83" s="332">
        <f t="shared" si="50"/>
        <v>1.5400100000000001</v>
      </c>
      <c r="AZ83" s="20"/>
      <c r="BA83" s="20"/>
      <c r="BB83" s="20"/>
      <c r="BC83" s="20"/>
      <c r="BD83" s="221" t="e">
        <f>-SUMIF(#REF!,'pôles &amp; actions'!$C83,#REF!)/1000</f>
        <v>#REF!</v>
      </c>
      <c r="BE83" s="221" t="e">
        <f>SUMIF(#REF!,'pôles &amp; actions'!$C83,#REF!)/1000</f>
        <v>#REF!</v>
      </c>
      <c r="BF83" s="221" t="e">
        <f t="shared" si="54"/>
        <v>#REF!</v>
      </c>
      <c r="BG83" s="221" t="e">
        <f t="shared" si="52"/>
        <v>#REF!</v>
      </c>
      <c r="BK83" s="345">
        <v>-6.6</v>
      </c>
      <c r="BL83" s="345">
        <v>6</v>
      </c>
      <c r="BM83" s="345">
        <f t="shared" si="61"/>
        <v>-0.59999999999999964</v>
      </c>
      <c r="BN83" s="225"/>
    </row>
    <row r="84" spans="1:66" ht="15" customHeight="1" outlineLevel="2" x14ac:dyDescent="0.25">
      <c r="A84" s="324">
        <v>77</v>
      </c>
      <c r="B84" s="385" t="s">
        <v>126</v>
      </c>
      <c r="C84" s="386" t="s">
        <v>127</v>
      </c>
      <c r="D84" s="37"/>
      <c r="E84" s="37"/>
      <c r="F84" s="37"/>
      <c r="G84" s="38"/>
      <c r="H84" s="39"/>
      <c r="I84" s="37">
        <v>-1.855</v>
      </c>
      <c r="J84" s="37">
        <v>0</v>
      </c>
      <c r="K84" s="37">
        <f t="shared" si="57"/>
        <v>-1.855</v>
      </c>
      <c r="L84" s="38"/>
      <c r="M84" s="38"/>
      <c r="N84" s="37" t="e">
        <f>-SUMIF(#REF!,$C84,#REF!)/1000</f>
        <v>#REF!</v>
      </c>
      <c r="O84" s="37" t="e">
        <f>SUMIF(#REF!,$C84,#REF!)/1000</f>
        <v>#REF!</v>
      </c>
      <c r="P84" s="37" t="e">
        <f t="shared" si="58"/>
        <v>#REF!</v>
      </c>
      <c r="Q84" s="39"/>
      <c r="R84" s="157">
        <v>-4.0999999999999996</v>
      </c>
      <c r="S84" s="157">
        <v>0</v>
      </c>
      <c r="T84" s="157">
        <f t="shared" si="59"/>
        <v>-4.0999999999999996</v>
      </c>
      <c r="U84" s="37"/>
      <c r="V84" s="407">
        <v>-5.1613299999999995</v>
      </c>
      <c r="W84" s="407">
        <v>0</v>
      </c>
      <c r="X84" s="407">
        <f t="shared" si="63"/>
        <v>-5.1613299999999995</v>
      </c>
      <c r="Y84" s="46"/>
      <c r="Z84" s="46"/>
      <c r="AA84" s="39"/>
      <c r="AB84" s="248">
        <v>-3.7</v>
      </c>
      <c r="AC84" s="248"/>
      <c r="AD84" s="248">
        <f t="shared" si="60"/>
        <v>-3.7</v>
      </c>
      <c r="AE84" s="37"/>
      <c r="AF84" s="46"/>
      <c r="AG84" s="194"/>
      <c r="AH84" s="195"/>
      <c r="AI84" s="148">
        <v>-5.5445799999999998</v>
      </c>
      <c r="AJ84" s="148">
        <v>0</v>
      </c>
      <c r="AK84" s="148">
        <v>-5.5445799999999998</v>
      </c>
      <c r="AL84" s="20"/>
      <c r="AM84" s="20"/>
      <c r="AN84" s="20"/>
      <c r="AO84" s="20"/>
      <c r="AP84" s="339">
        <v>-3.9260000000000002</v>
      </c>
      <c r="AQ84" s="339"/>
      <c r="AR84" s="339">
        <f t="shared" si="53"/>
        <v>-3.9260000000000002</v>
      </c>
      <c r="AS84" s="225"/>
      <c r="AT84" s="269">
        <v>2.66</v>
      </c>
      <c r="AU84" s="20" t="s">
        <v>502</v>
      </c>
      <c r="AV84" s="20"/>
      <c r="AW84" s="332">
        <v>-2.5440399999999999</v>
      </c>
      <c r="AX84" s="332">
        <v>0</v>
      </c>
      <c r="AY84" s="332">
        <f t="shared" si="50"/>
        <v>-2.5440399999999999</v>
      </c>
      <c r="AZ84" s="20"/>
      <c r="BA84" s="20"/>
      <c r="BB84" s="20"/>
      <c r="BC84" s="20"/>
      <c r="BD84" s="221" t="e">
        <f>-SUMIF(#REF!,'pôles &amp; actions'!$C84,#REF!)/1000</f>
        <v>#REF!</v>
      </c>
      <c r="BE84" s="221" t="e">
        <f>SUMIF(#REF!,'pôles &amp; actions'!$C84,#REF!)/1000</f>
        <v>#REF!</v>
      </c>
      <c r="BF84" s="221" t="e">
        <f t="shared" si="54"/>
        <v>#REF!</v>
      </c>
      <c r="BG84" s="221" t="e">
        <f t="shared" si="52"/>
        <v>#REF!</v>
      </c>
      <c r="BK84" s="345">
        <v>-3.3359999999999999</v>
      </c>
      <c r="BL84" s="345"/>
      <c r="BM84" s="345">
        <f t="shared" si="61"/>
        <v>-3.3359999999999999</v>
      </c>
      <c r="BN84" s="225"/>
    </row>
    <row r="85" spans="1:66" ht="15" customHeight="1" outlineLevel="1" x14ac:dyDescent="0.25">
      <c r="A85" s="324">
        <v>78</v>
      </c>
      <c r="B85" s="392" t="s">
        <v>128</v>
      </c>
      <c r="C85" s="393"/>
      <c r="D85" s="41">
        <f>SUM(D77:D83)</f>
        <v>-15.5</v>
      </c>
      <c r="E85" s="41">
        <f>SUM(E77:E83)</f>
        <v>2</v>
      </c>
      <c r="F85" s="41">
        <f>SUM(D85:E85)</f>
        <v>-13.5</v>
      </c>
      <c r="G85" s="38"/>
      <c r="H85" s="39"/>
      <c r="I85" s="41">
        <f>SUM(I77:I84)</f>
        <v>-17.347999999999999</v>
      </c>
      <c r="J85" s="41">
        <f>SUM(J77:J84)</f>
        <v>6.98</v>
      </c>
      <c r="K85" s="41">
        <f>SUM(I85:J85)</f>
        <v>-10.367999999999999</v>
      </c>
      <c r="L85" s="38"/>
      <c r="M85" s="38"/>
      <c r="N85" s="41" t="e">
        <f>SUM(N77:N84)</f>
        <v>#REF!</v>
      </c>
      <c r="O85" s="41" t="e">
        <f>SUM(O77:O84)</f>
        <v>#REF!</v>
      </c>
      <c r="P85" s="41" t="e">
        <f>SUM(P77:P84)</f>
        <v>#REF!</v>
      </c>
      <c r="Q85" s="39"/>
      <c r="R85" s="158">
        <f>SUM(R77:R84)</f>
        <v>-36.020000000000003</v>
      </c>
      <c r="S85" s="158">
        <f>SUM(S77:S84)</f>
        <v>13.3</v>
      </c>
      <c r="T85" s="158">
        <f>SUM(T77:T84)</f>
        <v>-22.72</v>
      </c>
      <c r="U85" s="41"/>
      <c r="V85" s="408">
        <f>SUM(V77:V84)</f>
        <v>-11.47775</v>
      </c>
      <c r="W85" s="408">
        <f>SUM(W77:W84)</f>
        <v>1.47716</v>
      </c>
      <c r="X85" s="408">
        <f>SUM(X77:X84)</f>
        <v>-10.000589999999999</v>
      </c>
      <c r="Y85" s="80"/>
      <c r="Z85" s="80">
        <f t="shared" ref="Z85" si="64">SUM(Z77:Z84)</f>
        <v>0</v>
      </c>
      <c r="AA85" s="39"/>
      <c r="AB85" s="248">
        <f>SUM(AB77:AB84)</f>
        <v>-16.3</v>
      </c>
      <c r="AC85" s="248">
        <f>SUM(AC77:AC84)</f>
        <v>7.3</v>
      </c>
      <c r="AD85" s="248">
        <f>SUM(AD77:AD84)</f>
        <v>-9</v>
      </c>
      <c r="AE85" s="41"/>
      <c r="AF85" s="80"/>
      <c r="AG85" s="194"/>
      <c r="AH85" s="195"/>
      <c r="AI85" s="149">
        <f>SUM(AI77:AI84)</f>
        <v>-17.246049999999997</v>
      </c>
      <c r="AJ85" s="149">
        <f>SUM(AJ77:AJ84)</f>
        <v>8.2626799999999996</v>
      </c>
      <c r="AK85" s="149">
        <f>AJ85+AI85</f>
        <v>-8.9833699999999972</v>
      </c>
      <c r="AL85" s="81"/>
      <c r="AM85" s="81"/>
      <c r="AN85" s="81"/>
      <c r="AO85" s="81"/>
      <c r="AP85" s="418">
        <f>SUM(AP77:AP84)</f>
        <v>-37.826000000000001</v>
      </c>
      <c r="AQ85" s="418">
        <f>SUM(AQ77:AQ84)</f>
        <v>18.400000000000002</v>
      </c>
      <c r="AR85" s="418">
        <f t="shared" si="53"/>
        <v>-19.425999999999998</v>
      </c>
      <c r="AS85" s="226"/>
      <c r="AT85" s="81"/>
      <c r="AU85" s="81"/>
      <c r="AV85" s="81"/>
      <c r="AW85" s="333">
        <f>SUM(AW77:AW84)</f>
        <v>-27.655859999999997</v>
      </c>
      <c r="AX85" s="333">
        <f>SUM(AX77:AX84)</f>
        <v>19.48272</v>
      </c>
      <c r="AY85" s="333">
        <f t="shared" si="50"/>
        <v>-8.1731399999999965</v>
      </c>
      <c r="AZ85" s="81"/>
      <c r="BA85" s="81"/>
      <c r="BB85" s="81"/>
      <c r="BC85" s="81"/>
      <c r="BD85" s="227" t="e">
        <f>SUM(BD77:BD84)</f>
        <v>#REF!</v>
      </c>
      <c r="BE85" s="227" t="e">
        <f>SUM(BE77:BE84)</f>
        <v>#REF!</v>
      </c>
      <c r="BF85" s="227" t="e">
        <f t="shared" si="54"/>
        <v>#REF!</v>
      </c>
      <c r="BG85" s="221" t="e">
        <f t="shared" si="52"/>
        <v>#REF!</v>
      </c>
      <c r="BK85" s="436">
        <f>SUM(BK77:BK84)</f>
        <v>-45.448</v>
      </c>
      <c r="BL85" s="436">
        <f>SUM(BL77:BL84)</f>
        <v>27.7</v>
      </c>
      <c r="BM85" s="436">
        <f t="shared" si="61"/>
        <v>-17.748000000000001</v>
      </c>
      <c r="BN85" s="226"/>
    </row>
    <row r="86" spans="1:66" ht="15" customHeight="1" outlineLevel="2" x14ac:dyDescent="0.25">
      <c r="A86" s="324">
        <v>79</v>
      </c>
      <c r="B86" s="385" t="s">
        <v>37</v>
      </c>
      <c r="C86" s="386" t="s">
        <v>129</v>
      </c>
      <c r="D86" s="37">
        <v>0</v>
      </c>
      <c r="E86" s="37">
        <v>0</v>
      </c>
      <c r="F86" s="37">
        <f t="shared" ref="F86:F95" si="65">SUM(D86:E86)</f>
        <v>0</v>
      </c>
      <c r="G86" s="38"/>
      <c r="H86" s="39"/>
      <c r="I86" s="37">
        <v>0</v>
      </c>
      <c r="J86" s="37">
        <v>0</v>
      </c>
      <c r="K86" s="37">
        <f t="shared" ref="K86:K91" si="66">SUM(I86:J86)</f>
        <v>0</v>
      </c>
      <c r="L86" s="38"/>
      <c r="M86" s="38"/>
      <c r="N86" s="37" t="e">
        <f>-SUMIF(#REF!,$C86,#REF!)/1000</f>
        <v>#REF!</v>
      </c>
      <c r="O86" s="37" t="e">
        <f>SUMIF(#REF!,$C86,#REF!)/1000</f>
        <v>#REF!</v>
      </c>
      <c r="P86" s="37" t="e">
        <f t="shared" ref="P86:P91" si="67">N86+O86</f>
        <v>#REF!</v>
      </c>
      <c r="Q86" s="39"/>
      <c r="R86" s="157">
        <v>-10</v>
      </c>
      <c r="S86" s="157">
        <v>7</v>
      </c>
      <c r="T86" s="157">
        <f t="shared" ref="T86:T91" si="68">R86+S86</f>
        <v>-3</v>
      </c>
      <c r="U86" s="37"/>
      <c r="V86" s="407">
        <v>-0.46973999999999999</v>
      </c>
      <c r="W86" s="407">
        <v>0</v>
      </c>
      <c r="X86" s="407">
        <f t="shared" ref="X86:X91" si="69">SUM(V86:W86)</f>
        <v>-0.46973999999999999</v>
      </c>
      <c r="Y86" s="46"/>
      <c r="Z86" s="46"/>
      <c r="AA86" s="39"/>
      <c r="AB86" s="248"/>
      <c r="AC86" s="248"/>
      <c r="AD86" s="248">
        <f t="shared" ref="AD86:AD91" si="70">AB86+AC86</f>
        <v>0</v>
      </c>
      <c r="AE86" s="37"/>
      <c r="AF86" s="46"/>
      <c r="AG86" s="194"/>
      <c r="AH86" s="195"/>
      <c r="AI86" s="148">
        <v>0</v>
      </c>
      <c r="AJ86" s="148">
        <v>0</v>
      </c>
      <c r="AK86" s="148">
        <v>0</v>
      </c>
      <c r="AL86" s="20"/>
      <c r="AM86" s="20"/>
      <c r="AN86" s="20"/>
      <c r="AO86" s="20"/>
      <c r="AP86" s="339">
        <v>-1.25</v>
      </c>
      <c r="AQ86" s="339"/>
      <c r="AR86" s="339">
        <f t="shared" si="53"/>
        <v>-1.25</v>
      </c>
      <c r="AS86" s="225"/>
      <c r="AT86" s="20"/>
      <c r="AU86" s="20" t="s">
        <v>503</v>
      </c>
      <c r="AV86" s="20"/>
      <c r="AW86" s="332">
        <v>0</v>
      </c>
      <c r="AX86" s="332">
        <v>0</v>
      </c>
      <c r="AY86" s="332">
        <f t="shared" si="50"/>
        <v>0</v>
      </c>
      <c r="AZ86" s="20"/>
      <c r="BA86" s="20"/>
      <c r="BB86" s="20"/>
      <c r="BC86" s="20"/>
      <c r="BD86" s="221" t="e">
        <f>-SUMIF(#REF!,'pôles &amp; actions'!$C86,#REF!)/1000</f>
        <v>#REF!</v>
      </c>
      <c r="BE86" s="221" t="e">
        <f>SUMIF(#REF!,'pôles &amp; actions'!$C86,#REF!)/1000</f>
        <v>#REF!</v>
      </c>
      <c r="BF86" s="221" t="e">
        <f t="shared" si="54"/>
        <v>#REF!</v>
      </c>
      <c r="BG86" s="221" t="e">
        <f t="shared" si="52"/>
        <v>#REF!</v>
      </c>
      <c r="BK86" s="345">
        <v>-1.25</v>
      </c>
      <c r="BL86" s="345"/>
      <c r="BM86" s="345">
        <f t="shared" si="61"/>
        <v>-1.25</v>
      </c>
      <c r="BN86" s="225"/>
    </row>
    <row r="87" spans="1:66" ht="15" customHeight="1" outlineLevel="2" x14ac:dyDescent="0.25">
      <c r="A87" s="324">
        <v>80</v>
      </c>
      <c r="B87" s="385" t="s">
        <v>130</v>
      </c>
      <c r="C87" s="386" t="s">
        <v>131</v>
      </c>
      <c r="D87" s="37">
        <v>-1</v>
      </c>
      <c r="E87" s="37">
        <v>0</v>
      </c>
      <c r="F87" s="37">
        <f t="shared" si="65"/>
        <v>-1</v>
      </c>
      <c r="G87" s="38"/>
      <c r="H87" s="39"/>
      <c r="I87" s="37">
        <v>-0.9</v>
      </c>
      <c r="J87" s="37">
        <v>0</v>
      </c>
      <c r="K87" s="37">
        <f t="shared" si="66"/>
        <v>-0.9</v>
      </c>
      <c r="L87" s="38"/>
      <c r="M87" s="38"/>
      <c r="N87" s="37" t="e">
        <f>-SUMIF(#REF!,$C87,#REF!)/1000</f>
        <v>#REF!</v>
      </c>
      <c r="O87" s="37" t="e">
        <f>SUMIF(#REF!,$C87,#REF!)/1000</f>
        <v>#REF!</v>
      </c>
      <c r="P87" s="37" t="e">
        <f t="shared" si="67"/>
        <v>#REF!</v>
      </c>
      <c r="Q87" s="39"/>
      <c r="R87" s="157">
        <v>-1</v>
      </c>
      <c r="S87" s="157"/>
      <c r="T87" s="157">
        <f t="shared" si="68"/>
        <v>-1</v>
      </c>
      <c r="U87" s="37"/>
      <c r="V87" s="407">
        <v>-0.3</v>
      </c>
      <c r="W87" s="407">
        <v>0</v>
      </c>
      <c r="X87" s="407">
        <f t="shared" si="69"/>
        <v>-0.3</v>
      </c>
      <c r="Y87" s="46"/>
      <c r="Z87" s="46"/>
      <c r="AA87" s="39"/>
      <c r="AB87" s="248">
        <v>-1</v>
      </c>
      <c r="AC87" s="248"/>
      <c r="AD87" s="248">
        <f t="shared" si="70"/>
        <v>-1</v>
      </c>
      <c r="AE87" s="37"/>
      <c r="AF87" s="46"/>
      <c r="AG87" s="194"/>
      <c r="AH87" s="195"/>
      <c r="AI87" s="148">
        <v>-0.39879999999999999</v>
      </c>
      <c r="AJ87" s="148">
        <v>0</v>
      </c>
      <c r="AK87" s="148">
        <v>-0.39879999999999999</v>
      </c>
      <c r="AL87" s="20"/>
      <c r="AM87" s="20"/>
      <c r="AN87" s="20"/>
      <c r="AO87" s="20"/>
      <c r="AP87" s="339">
        <v>-1</v>
      </c>
      <c r="AQ87" s="339"/>
      <c r="AR87" s="339">
        <f t="shared" si="53"/>
        <v>-1</v>
      </c>
      <c r="AS87" s="225"/>
      <c r="AT87" s="20"/>
      <c r="AU87" s="20" t="s">
        <v>506</v>
      </c>
      <c r="AV87" s="20"/>
      <c r="AW87" s="332">
        <v>-1.91815</v>
      </c>
      <c r="AX87" s="332">
        <v>0</v>
      </c>
      <c r="AY87" s="332">
        <f t="shared" si="50"/>
        <v>-1.91815</v>
      </c>
      <c r="AZ87" s="20"/>
      <c r="BA87" s="20"/>
      <c r="BB87" s="20"/>
      <c r="BC87" s="20"/>
      <c r="BD87" s="221" t="e">
        <f>-SUMIF(#REF!,'pôles &amp; actions'!$C87,#REF!)/1000</f>
        <v>#REF!</v>
      </c>
      <c r="BE87" s="221" t="e">
        <f>SUMIF(#REF!,'pôles &amp; actions'!$C87,#REF!)/1000</f>
        <v>#REF!</v>
      </c>
      <c r="BF87" s="221" t="e">
        <f t="shared" si="54"/>
        <v>#REF!</v>
      </c>
      <c r="BG87" s="221" t="e">
        <f t="shared" si="52"/>
        <v>#REF!</v>
      </c>
      <c r="BK87" s="345">
        <v>-1.5</v>
      </c>
      <c r="BL87" s="345"/>
      <c r="BM87" s="345">
        <f t="shared" si="61"/>
        <v>-1.5</v>
      </c>
      <c r="BN87" s="225"/>
    </row>
    <row r="88" spans="1:66" ht="15" customHeight="1" outlineLevel="2" x14ac:dyDescent="0.25">
      <c r="A88" s="324">
        <v>81</v>
      </c>
      <c r="B88" s="385" t="s">
        <v>39</v>
      </c>
      <c r="C88" s="386" t="s">
        <v>132</v>
      </c>
      <c r="D88" s="37">
        <v>-1</v>
      </c>
      <c r="E88" s="37">
        <v>0</v>
      </c>
      <c r="F88" s="37">
        <f t="shared" si="65"/>
        <v>-1</v>
      </c>
      <c r="G88" s="38"/>
      <c r="H88" s="39"/>
      <c r="I88" s="37">
        <v>-3.7</v>
      </c>
      <c r="J88" s="37">
        <v>0.4</v>
      </c>
      <c r="K88" s="37">
        <f t="shared" si="66"/>
        <v>-3.3000000000000003</v>
      </c>
      <c r="L88" s="38"/>
      <c r="M88" s="38"/>
      <c r="N88" s="37" t="e">
        <f>-SUMIF(#REF!,$C88,#REF!)/1000</f>
        <v>#REF!</v>
      </c>
      <c r="O88" s="37" t="e">
        <f>SUMIF(#REF!,$C88,#REF!)/1000</f>
        <v>#REF!</v>
      </c>
      <c r="P88" s="37" t="e">
        <f t="shared" si="67"/>
        <v>#REF!</v>
      </c>
      <c r="Q88" s="39"/>
      <c r="R88" s="157">
        <v>-1</v>
      </c>
      <c r="S88" s="157"/>
      <c r="T88" s="157">
        <f t="shared" si="68"/>
        <v>-1</v>
      </c>
      <c r="U88" s="37"/>
      <c r="V88" s="407">
        <v>-2.2745099999999998</v>
      </c>
      <c r="W88" s="407">
        <v>0</v>
      </c>
      <c r="X88" s="407">
        <f t="shared" si="69"/>
        <v>-2.2745099999999998</v>
      </c>
      <c r="Y88" s="46"/>
      <c r="Z88" s="46"/>
      <c r="AA88" s="39"/>
      <c r="AB88" s="248">
        <v>-1.8</v>
      </c>
      <c r="AC88" s="248">
        <v>0.6</v>
      </c>
      <c r="AD88" s="248">
        <f t="shared" si="70"/>
        <v>-1.2000000000000002</v>
      </c>
      <c r="AE88" s="37"/>
      <c r="AF88" s="46"/>
      <c r="AG88" s="194" t="s">
        <v>400</v>
      </c>
      <c r="AH88" s="195"/>
      <c r="AI88" s="148">
        <v>-4.0065400000000002</v>
      </c>
      <c r="AJ88" s="148">
        <v>1.3614999999999999</v>
      </c>
      <c r="AK88" s="148">
        <v>-2.6450400000000003</v>
      </c>
      <c r="AL88" s="20"/>
      <c r="AM88" s="20"/>
      <c r="AN88" s="20"/>
      <c r="AO88" s="20"/>
      <c r="AP88" s="339">
        <v>-7.9249999999999998</v>
      </c>
      <c r="AQ88" s="339">
        <v>5.3849999999999998</v>
      </c>
      <c r="AR88" s="339">
        <f t="shared" si="53"/>
        <v>-2.54</v>
      </c>
      <c r="AS88" s="225"/>
      <c r="AT88" s="20"/>
      <c r="AU88" s="20" t="s">
        <v>504</v>
      </c>
      <c r="AV88" s="20"/>
      <c r="AW88" s="332">
        <v>-2.2637100000000001</v>
      </c>
      <c r="AX88" s="332">
        <v>0.18199000000000001</v>
      </c>
      <c r="AY88" s="332">
        <f t="shared" si="50"/>
        <v>-2.0817200000000002</v>
      </c>
      <c r="AZ88" s="20"/>
      <c r="BA88" s="20"/>
      <c r="BB88" s="20"/>
      <c r="BC88" s="20"/>
      <c r="BD88" s="221" t="e">
        <f>-SUMIF(#REF!,'pôles &amp; actions'!$C88,#REF!)/1000</f>
        <v>#REF!</v>
      </c>
      <c r="BE88" s="221" t="e">
        <f>SUMIF(#REF!,'pôles &amp; actions'!$C88,#REF!)/1000</f>
        <v>#REF!</v>
      </c>
      <c r="BF88" s="221" t="e">
        <f t="shared" si="54"/>
        <v>#REF!</v>
      </c>
      <c r="BG88" s="221" t="e">
        <f t="shared" si="52"/>
        <v>#REF!</v>
      </c>
      <c r="BK88" s="345">
        <v>-4.4349999999999996</v>
      </c>
      <c r="BL88" s="345">
        <v>1.625</v>
      </c>
      <c r="BM88" s="345">
        <f t="shared" si="61"/>
        <v>-2.8099999999999996</v>
      </c>
      <c r="BN88" s="225"/>
    </row>
    <row r="89" spans="1:66" ht="15" customHeight="1" outlineLevel="2" x14ac:dyDescent="0.25">
      <c r="A89" s="324">
        <v>82</v>
      </c>
      <c r="B89" s="385" t="s">
        <v>43</v>
      </c>
      <c r="C89" s="386" t="s">
        <v>133</v>
      </c>
      <c r="D89" s="37">
        <v>-1</v>
      </c>
      <c r="E89" s="37">
        <v>0</v>
      </c>
      <c r="F89" s="37">
        <f t="shared" si="65"/>
        <v>-1</v>
      </c>
      <c r="G89" s="38"/>
      <c r="H89" s="39"/>
      <c r="I89" s="37">
        <v>-0.2</v>
      </c>
      <c r="J89" s="37">
        <v>0</v>
      </c>
      <c r="K89" s="37">
        <f t="shared" si="66"/>
        <v>-0.2</v>
      </c>
      <c r="L89" s="38"/>
      <c r="M89" s="38"/>
      <c r="N89" s="37" t="e">
        <f>-SUMIF(#REF!,$C89,#REF!)/1000</f>
        <v>#REF!</v>
      </c>
      <c r="O89" s="37" t="e">
        <f>SUMIF(#REF!,$C89,#REF!)/1000</f>
        <v>#REF!</v>
      </c>
      <c r="P89" s="37" t="e">
        <f t="shared" si="67"/>
        <v>#REF!</v>
      </c>
      <c r="Q89" s="39"/>
      <c r="R89" s="157">
        <v>0</v>
      </c>
      <c r="S89" s="157"/>
      <c r="T89" s="157">
        <f t="shared" si="68"/>
        <v>0</v>
      </c>
      <c r="U89" s="37"/>
      <c r="V89" s="407">
        <v>0</v>
      </c>
      <c r="W89" s="407">
        <v>0</v>
      </c>
      <c r="X89" s="407">
        <f t="shared" si="69"/>
        <v>0</v>
      </c>
      <c r="Y89" s="46"/>
      <c r="Z89" s="46"/>
      <c r="AA89" s="39"/>
      <c r="AB89" s="248"/>
      <c r="AC89" s="248"/>
      <c r="AD89" s="248">
        <f t="shared" si="70"/>
        <v>0</v>
      </c>
      <c r="AE89" s="37"/>
      <c r="AF89" s="46"/>
      <c r="AG89" s="194"/>
      <c r="AH89" s="195"/>
      <c r="AI89" s="148">
        <v>-0.23718999999999998</v>
      </c>
      <c r="AJ89" s="148">
        <v>0</v>
      </c>
      <c r="AK89" s="148">
        <v>-0.23718999999999998</v>
      </c>
      <c r="AL89" s="20"/>
      <c r="AM89" s="20"/>
      <c r="AN89" s="20"/>
      <c r="AO89" s="20"/>
      <c r="AP89" s="339"/>
      <c r="AQ89" s="339"/>
      <c r="AR89" s="339">
        <f t="shared" si="53"/>
        <v>0</v>
      </c>
      <c r="AS89" s="225"/>
      <c r="AT89" s="20"/>
      <c r="AU89" s="20"/>
      <c r="AV89" s="20"/>
      <c r="AW89" s="332">
        <v>-0.34031</v>
      </c>
      <c r="AX89" s="332">
        <v>0.27281</v>
      </c>
      <c r="AY89" s="332">
        <f t="shared" si="50"/>
        <v>-6.7500000000000004E-2</v>
      </c>
      <c r="AZ89" s="20"/>
      <c r="BA89" s="20"/>
      <c r="BB89" s="20"/>
      <c r="BC89" s="20"/>
      <c r="BD89" s="221" t="e">
        <f>-SUMIF(#REF!,'pôles &amp; actions'!$C89,#REF!)/1000</f>
        <v>#REF!</v>
      </c>
      <c r="BE89" s="221" t="e">
        <f>SUMIF(#REF!,'pôles &amp; actions'!$C89,#REF!)/1000</f>
        <v>#REF!</v>
      </c>
      <c r="BF89" s="221" t="e">
        <f t="shared" si="54"/>
        <v>#REF!</v>
      </c>
      <c r="BG89" s="221" t="e">
        <f t="shared" si="52"/>
        <v>#REF!</v>
      </c>
      <c r="BK89" s="345"/>
      <c r="BL89" s="345"/>
      <c r="BM89" s="345">
        <f t="shared" si="61"/>
        <v>0</v>
      </c>
      <c r="BN89" s="225"/>
    </row>
    <row r="90" spans="1:66" ht="15" customHeight="1" outlineLevel="2" x14ac:dyDescent="0.25">
      <c r="A90" s="324">
        <v>83</v>
      </c>
      <c r="B90" s="385" t="s">
        <v>41</v>
      </c>
      <c r="C90" s="386" t="s">
        <v>505</v>
      </c>
      <c r="D90" s="37">
        <v>-0.5</v>
      </c>
      <c r="E90" s="37">
        <v>0.3</v>
      </c>
      <c r="F90" s="37">
        <f t="shared" si="65"/>
        <v>-0.2</v>
      </c>
      <c r="G90" s="38"/>
      <c r="H90" s="39"/>
      <c r="I90" s="37">
        <v>0</v>
      </c>
      <c r="J90" s="37">
        <v>0</v>
      </c>
      <c r="K90" s="37">
        <f t="shared" si="66"/>
        <v>0</v>
      </c>
      <c r="L90" s="38"/>
      <c r="M90" s="38"/>
      <c r="N90" s="37" t="e">
        <f>-SUMIF(#REF!,$C90,#REF!)/1000</f>
        <v>#REF!</v>
      </c>
      <c r="O90" s="37" t="e">
        <f>SUMIF(#REF!,$C90,#REF!)/1000</f>
        <v>#REF!</v>
      </c>
      <c r="P90" s="37" t="e">
        <f t="shared" si="67"/>
        <v>#REF!</v>
      </c>
      <c r="Q90" s="39"/>
      <c r="R90" s="157">
        <v>0</v>
      </c>
      <c r="S90" s="157"/>
      <c r="T90" s="157">
        <f t="shared" si="68"/>
        <v>0</v>
      </c>
      <c r="U90" s="37"/>
      <c r="V90" s="407">
        <v>0</v>
      </c>
      <c r="W90" s="407">
        <v>0</v>
      </c>
      <c r="X90" s="407">
        <f t="shared" si="69"/>
        <v>0</v>
      </c>
      <c r="Y90" s="46"/>
      <c r="Z90" s="46"/>
      <c r="AA90" s="39"/>
      <c r="AB90" s="248">
        <v>-0.5</v>
      </c>
      <c r="AC90" s="248"/>
      <c r="AD90" s="248">
        <f t="shared" si="70"/>
        <v>-0.5</v>
      </c>
      <c r="AE90" s="37"/>
      <c r="AF90" s="46"/>
      <c r="AG90" s="194" t="s">
        <v>399</v>
      </c>
      <c r="AH90" s="195"/>
      <c r="AI90" s="148">
        <v>0</v>
      </c>
      <c r="AJ90" s="148">
        <v>0</v>
      </c>
      <c r="AK90" s="148">
        <v>0</v>
      </c>
      <c r="AL90" s="20"/>
      <c r="AM90" s="20"/>
      <c r="AN90" s="20"/>
      <c r="AO90" s="20"/>
      <c r="AP90" s="339">
        <v>-0.435</v>
      </c>
      <c r="AQ90" s="339"/>
      <c r="AR90" s="339">
        <f t="shared" si="53"/>
        <v>-0.435</v>
      </c>
      <c r="AS90" s="225"/>
      <c r="AT90" s="20"/>
      <c r="AU90" s="20" t="s">
        <v>508</v>
      </c>
      <c r="AV90" s="20"/>
      <c r="AW90" s="332">
        <v>0</v>
      </c>
      <c r="AX90" s="332">
        <v>0</v>
      </c>
      <c r="AY90" s="332">
        <f t="shared" si="50"/>
        <v>0</v>
      </c>
      <c r="AZ90" s="20"/>
      <c r="BA90" s="20"/>
      <c r="BB90" s="20"/>
      <c r="BC90" s="20"/>
      <c r="BD90" s="221" t="e">
        <f>-SUMIF(#REF!,'pôles &amp; actions'!$C90,#REF!)/1000</f>
        <v>#REF!</v>
      </c>
      <c r="BE90" s="221" t="e">
        <f>SUMIF(#REF!,'pôles &amp; actions'!$C90,#REF!)/1000</f>
        <v>#REF!</v>
      </c>
      <c r="BF90" s="221" t="e">
        <f t="shared" si="54"/>
        <v>#REF!</v>
      </c>
      <c r="BG90" s="221" t="e">
        <f t="shared" si="52"/>
        <v>#REF!</v>
      </c>
      <c r="BK90" s="345"/>
      <c r="BL90" s="345"/>
      <c r="BM90" s="345">
        <f t="shared" si="61"/>
        <v>0</v>
      </c>
      <c r="BN90" s="225"/>
    </row>
    <row r="91" spans="1:66" ht="15" customHeight="1" outlineLevel="2" x14ac:dyDescent="0.25">
      <c r="A91" s="324">
        <v>84</v>
      </c>
      <c r="B91" s="385" t="s">
        <v>45</v>
      </c>
      <c r="C91" s="386" t="s">
        <v>134</v>
      </c>
      <c r="D91" s="37"/>
      <c r="E91" s="37"/>
      <c r="F91" s="37"/>
      <c r="G91" s="38"/>
      <c r="H91" s="39"/>
      <c r="I91" s="37">
        <v>0</v>
      </c>
      <c r="J91" s="37">
        <v>0</v>
      </c>
      <c r="K91" s="37">
        <f t="shared" si="66"/>
        <v>0</v>
      </c>
      <c r="L91" s="38"/>
      <c r="M91" s="38"/>
      <c r="N91" s="37" t="e">
        <f>-SUMIF(#REF!,$C91,#REF!)/1000</f>
        <v>#REF!</v>
      </c>
      <c r="O91" s="37" t="e">
        <f>SUMIF(#REF!,$C91,#REF!)/1000</f>
        <v>#REF!</v>
      </c>
      <c r="P91" s="37" t="e">
        <f t="shared" si="67"/>
        <v>#REF!</v>
      </c>
      <c r="Q91" s="39"/>
      <c r="R91" s="157">
        <v>0</v>
      </c>
      <c r="S91" s="157"/>
      <c r="T91" s="157">
        <f t="shared" si="68"/>
        <v>0</v>
      </c>
      <c r="U91" s="37"/>
      <c r="V91" s="407">
        <v>0</v>
      </c>
      <c r="W91" s="407">
        <v>0</v>
      </c>
      <c r="X91" s="407">
        <f t="shared" si="69"/>
        <v>0</v>
      </c>
      <c r="Y91" s="46"/>
      <c r="Z91" s="46"/>
      <c r="AA91" s="39"/>
      <c r="AB91" s="248"/>
      <c r="AC91" s="248"/>
      <c r="AD91" s="248">
        <f t="shared" si="70"/>
        <v>0</v>
      </c>
      <c r="AE91" s="37"/>
      <c r="AF91" s="46"/>
      <c r="AG91" s="194"/>
      <c r="AH91" s="195"/>
      <c r="AI91" s="148">
        <v>0</v>
      </c>
      <c r="AJ91" s="148">
        <v>0</v>
      </c>
      <c r="AK91" s="148">
        <v>0</v>
      </c>
      <c r="AL91" s="20"/>
      <c r="AM91" s="20"/>
      <c r="AN91" s="20"/>
      <c r="AO91" s="20"/>
      <c r="AP91" s="339"/>
      <c r="AQ91" s="339"/>
      <c r="AR91" s="339">
        <f t="shared" si="53"/>
        <v>0</v>
      </c>
      <c r="AS91" s="225"/>
      <c r="AT91" s="20"/>
      <c r="AU91" s="20"/>
      <c r="AV91" s="20"/>
      <c r="AW91" s="332">
        <v>0</v>
      </c>
      <c r="AX91" s="332">
        <v>0</v>
      </c>
      <c r="AY91" s="332">
        <f t="shared" si="50"/>
        <v>0</v>
      </c>
      <c r="AZ91" s="20"/>
      <c r="BA91" s="20"/>
      <c r="BB91" s="20"/>
      <c r="BC91" s="20"/>
      <c r="BD91" s="221" t="e">
        <f>-SUMIF(#REF!,'pôles &amp; actions'!$C91,#REF!)/1000</f>
        <v>#REF!</v>
      </c>
      <c r="BE91" s="221" t="e">
        <f>SUMIF(#REF!,'pôles &amp; actions'!$C91,#REF!)/1000</f>
        <v>#REF!</v>
      </c>
      <c r="BF91" s="221" t="e">
        <f t="shared" si="54"/>
        <v>#REF!</v>
      </c>
      <c r="BG91" s="221" t="e">
        <f t="shared" si="52"/>
        <v>#REF!</v>
      </c>
      <c r="BK91" s="345">
        <v>-0.25</v>
      </c>
      <c r="BL91" s="345"/>
      <c r="BM91" s="345">
        <f t="shared" si="61"/>
        <v>-0.25</v>
      </c>
      <c r="BN91" s="225"/>
    </row>
    <row r="92" spans="1:66" ht="15" customHeight="1" outlineLevel="1" x14ac:dyDescent="0.25">
      <c r="A92" s="324">
        <v>85</v>
      </c>
      <c r="B92" s="392" t="s">
        <v>130</v>
      </c>
      <c r="C92" s="393"/>
      <c r="D92" s="41">
        <f>SUM(D86:D90)</f>
        <v>-3.5</v>
      </c>
      <c r="E92" s="41">
        <f>SUM(E86:E90)</f>
        <v>0.3</v>
      </c>
      <c r="F92" s="41">
        <f t="shared" si="65"/>
        <v>-3.2</v>
      </c>
      <c r="G92" s="38"/>
      <c r="H92" s="39"/>
      <c r="I92" s="41">
        <f>SUM(I86:I91)</f>
        <v>-4.8000000000000007</v>
      </c>
      <c r="J92" s="41">
        <f>SUM(J86:J91)</f>
        <v>0.4</v>
      </c>
      <c r="K92" s="41">
        <f>SUM(K86:K91)</f>
        <v>-4.4000000000000004</v>
      </c>
      <c r="L92" s="38"/>
      <c r="M92" s="38"/>
      <c r="N92" s="41" t="e">
        <f>SUM(N86:N91)</f>
        <v>#REF!</v>
      </c>
      <c r="O92" s="41" t="e">
        <f>SUM(O86:O91)</f>
        <v>#REF!</v>
      </c>
      <c r="P92" s="41" t="e">
        <f>SUM(P86:P91)</f>
        <v>#REF!</v>
      </c>
      <c r="Q92" s="39"/>
      <c r="R92" s="172">
        <f>SUM(R86:R91)</f>
        <v>-12</v>
      </c>
      <c r="S92" s="172">
        <f>SUM(S86:S91)</f>
        <v>7</v>
      </c>
      <c r="T92" s="172">
        <f>SUM(T86:T91)</f>
        <v>-5</v>
      </c>
      <c r="U92" s="41"/>
      <c r="V92" s="409">
        <f>SUM(V86:V91)</f>
        <v>-3.0442499999999999</v>
      </c>
      <c r="W92" s="409">
        <f>SUM(W86:W91)</f>
        <v>0</v>
      </c>
      <c r="X92" s="409">
        <f>SUM(X86:X91)</f>
        <v>-3.0442499999999999</v>
      </c>
      <c r="Y92" s="80"/>
      <c r="Z92" s="80">
        <f>SUM(Z86:Z91)</f>
        <v>0</v>
      </c>
      <c r="AA92" s="39"/>
      <c r="AB92" s="251">
        <f>SUM(AB86:AB91)</f>
        <v>-3.3</v>
      </c>
      <c r="AC92" s="252">
        <f>SUM(AC86:AC91)</f>
        <v>0.6</v>
      </c>
      <c r="AD92" s="238">
        <f>SUM(AD86:AD91)</f>
        <v>-2.7</v>
      </c>
      <c r="AE92" s="41"/>
      <c r="AF92" s="80"/>
      <c r="AG92" s="194"/>
      <c r="AH92" s="195"/>
      <c r="AI92" s="149">
        <f>SUM(AI86:AI91)</f>
        <v>-4.6425299999999998</v>
      </c>
      <c r="AJ92" s="149">
        <f>SUM(AJ86:AJ91)</f>
        <v>1.3614999999999999</v>
      </c>
      <c r="AK92" s="149">
        <f>AJ92+AI92</f>
        <v>-3.2810299999999999</v>
      </c>
      <c r="AL92" s="81"/>
      <c r="AM92" s="81"/>
      <c r="AN92" s="81"/>
      <c r="AO92" s="81"/>
      <c r="AP92" s="418">
        <f>SUM(AP86:AP91)</f>
        <v>-10.610000000000001</v>
      </c>
      <c r="AQ92" s="418">
        <f>SUM(AQ86:AQ91)</f>
        <v>5.3849999999999998</v>
      </c>
      <c r="AR92" s="418">
        <f t="shared" si="53"/>
        <v>-5.2250000000000014</v>
      </c>
      <c r="AS92" s="226"/>
      <c r="AT92" s="81"/>
      <c r="AU92" s="277" t="s">
        <v>507</v>
      </c>
      <c r="AV92" s="277"/>
      <c r="AW92" s="333">
        <f>SUM(AW86:AW91)</f>
        <v>-4.52217</v>
      </c>
      <c r="AX92" s="333">
        <f>SUM(AX86:AX91)</f>
        <v>0.45479999999999998</v>
      </c>
      <c r="AY92" s="333">
        <f t="shared" si="50"/>
        <v>-4.0673700000000004</v>
      </c>
      <c r="AZ92" s="277"/>
      <c r="BA92" s="277"/>
      <c r="BB92" s="277"/>
      <c r="BC92" s="81"/>
      <c r="BD92" s="227" t="e">
        <f>SUM(BD86:BD91)</f>
        <v>#REF!</v>
      </c>
      <c r="BE92" s="227" t="e">
        <f>SUM(BE86:BE91)</f>
        <v>#REF!</v>
      </c>
      <c r="BF92" s="227" t="e">
        <f t="shared" si="54"/>
        <v>#REF!</v>
      </c>
      <c r="BG92" s="221" t="e">
        <f t="shared" si="52"/>
        <v>#REF!</v>
      </c>
      <c r="BK92" s="436">
        <f>SUM(BK86:BK91)</f>
        <v>-7.4349999999999996</v>
      </c>
      <c r="BL92" s="436">
        <f>SUM(BL86:BL91)</f>
        <v>1.625</v>
      </c>
      <c r="BM92" s="436">
        <f t="shared" si="61"/>
        <v>-5.81</v>
      </c>
      <c r="BN92" s="226"/>
    </row>
    <row r="93" spans="1:66" ht="15" customHeight="1" outlineLevel="1" x14ac:dyDescent="0.25">
      <c r="A93" s="324">
        <v>86</v>
      </c>
      <c r="B93" s="397" t="s">
        <v>559</v>
      </c>
      <c r="C93" s="398" t="s">
        <v>560</v>
      </c>
      <c r="D93" s="41"/>
      <c r="E93" s="41"/>
      <c r="F93" s="41"/>
      <c r="G93" s="38"/>
      <c r="H93" s="39"/>
      <c r="I93" s="41"/>
      <c r="J93" s="41"/>
      <c r="K93" s="41"/>
      <c r="L93" s="38"/>
      <c r="M93" s="38"/>
      <c r="N93" s="41"/>
      <c r="O93" s="41"/>
      <c r="P93" s="41"/>
      <c r="Q93" s="39"/>
      <c r="R93" s="282"/>
      <c r="S93" s="282"/>
      <c r="T93" s="282"/>
      <c r="U93" s="41"/>
      <c r="V93" s="412"/>
      <c r="W93" s="412"/>
      <c r="X93" s="412"/>
      <c r="Y93" s="80"/>
      <c r="Z93" s="80"/>
      <c r="AA93" s="39"/>
      <c r="AB93" s="253"/>
      <c r="AC93" s="253"/>
      <c r="AD93" s="283"/>
      <c r="AE93" s="41"/>
      <c r="AF93" s="80"/>
      <c r="AG93" s="194"/>
      <c r="AH93" s="195"/>
      <c r="AI93" s="284"/>
      <c r="AJ93" s="284"/>
      <c r="AK93" s="284"/>
      <c r="AL93" s="81"/>
      <c r="AM93" s="81"/>
      <c r="AN93" s="81"/>
      <c r="AO93" s="81"/>
      <c r="AP93" s="418">
        <v>-2</v>
      </c>
      <c r="AQ93" s="418"/>
      <c r="AR93" s="418"/>
      <c r="AS93" s="226"/>
      <c r="AT93" s="81"/>
      <c r="AU93" s="277"/>
      <c r="AV93" s="277"/>
      <c r="AW93" s="435">
        <v>0</v>
      </c>
      <c r="AX93" s="435">
        <v>0</v>
      </c>
      <c r="AY93" s="435">
        <f t="shared" si="50"/>
        <v>0</v>
      </c>
      <c r="AZ93" s="277"/>
      <c r="BA93" s="277"/>
      <c r="BB93" s="277"/>
      <c r="BC93" s="81"/>
      <c r="BD93" s="227"/>
      <c r="BE93" s="227"/>
      <c r="BF93" s="227"/>
      <c r="BG93" s="221">
        <f t="shared" si="52"/>
        <v>0</v>
      </c>
      <c r="BK93" s="436">
        <v>-11</v>
      </c>
      <c r="BL93" s="436"/>
      <c r="BM93" s="436"/>
      <c r="BN93" s="226"/>
    </row>
    <row r="94" spans="1:66" ht="15" customHeight="1" outlineLevel="1" x14ac:dyDescent="0.25">
      <c r="A94" s="324">
        <v>87</v>
      </c>
      <c r="B94" s="397" t="s">
        <v>448</v>
      </c>
      <c r="C94" s="398" t="s">
        <v>561</v>
      </c>
      <c r="D94" s="41"/>
      <c r="E94" s="41"/>
      <c r="F94" s="41"/>
      <c r="G94" s="38"/>
      <c r="H94" s="39"/>
      <c r="I94" s="41"/>
      <c r="J94" s="41"/>
      <c r="K94" s="41"/>
      <c r="L94" s="38"/>
      <c r="M94" s="38"/>
      <c r="N94" s="41"/>
      <c r="O94" s="41"/>
      <c r="P94" s="41"/>
      <c r="Q94" s="39"/>
      <c r="R94" s="282"/>
      <c r="S94" s="282"/>
      <c r="T94" s="282"/>
      <c r="U94" s="41"/>
      <c r="V94" s="412"/>
      <c r="W94" s="412"/>
      <c r="X94" s="412"/>
      <c r="Y94" s="80"/>
      <c r="Z94" s="80"/>
      <c r="AA94" s="39"/>
      <c r="AB94" s="253"/>
      <c r="AC94" s="253"/>
      <c r="AD94" s="283"/>
      <c r="AE94" s="41"/>
      <c r="AF94" s="80"/>
      <c r="AG94" s="194"/>
      <c r="AH94" s="195"/>
      <c r="AI94" s="284"/>
      <c r="AJ94" s="284"/>
      <c r="AK94" s="284"/>
      <c r="AL94" s="81"/>
      <c r="AM94" s="81"/>
      <c r="AN94" s="81"/>
      <c r="AO94" s="81"/>
      <c r="AP94" s="418">
        <v>-1.6</v>
      </c>
      <c r="AQ94" s="418"/>
      <c r="AR94" s="418"/>
      <c r="AS94" s="226"/>
      <c r="AT94" s="81"/>
      <c r="AU94" s="277"/>
      <c r="AV94" s="277"/>
      <c r="AW94" s="435">
        <v>0</v>
      </c>
      <c r="AX94" s="435">
        <v>0</v>
      </c>
      <c r="AY94" s="435">
        <f t="shared" si="50"/>
        <v>0</v>
      </c>
      <c r="AZ94" s="277"/>
      <c r="BA94" s="277"/>
      <c r="BB94" s="277"/>
      <c r="BC94" s="81"/>
      <c r="BD94" s="227"/>
      <c r="BE94" s="227"/>
      <c r="BF94" s="227"/>
      <c r="BG94" s="221">
        <f t="shared" si="52"/>
        <v>0</v>
      </c>
      <c r="BK94" s="436">
        <v>-1.6</v>
      </c>
      <c r="BL94" s="436"/>
      <c r="BM94" s="436"/>
      <c r="BN94" s="226"/>
    </row>
    <row r="95" spans="1:66" ht="15" customHeight="1" outlineLevel="1" x14ac:dyDescent="0.25">
      <c r="A95" s="324">
        <v>88</v>
      </c>
      <c r="B95" s="387" t="s">
        <v>135</v>
      </c>
      <c r="C95" s="388"/>
      <c r="D95" s="42">
        <f>SUM(D92,D85,D76)</f>
        <v>-25</v>
      </c>
      <c r="E95" s="42">
        <f>SUM(E92,E85,E76)</f>
        <v>12.3</v>
      </c>
      <c r="F95" s="42">
        <f t="shared" si="65"/>
        <v>-12.7</v>
      </c>
      <c r="G95" s="38"/>
      <c r="H95" s="39"/>
      <c r="I95" s="42">
        <f>SUM(I92+I85+I76)</f>
        <v>-29.847999999999999</v>
      </c>
      <c r="J95" s="42">
        <f>SUM(J92+J85+J76)</f>
        <v>8.08</v>
      </c>
      <c r="K95" s="42">
        <f>SUM(I95:J95)</f>
        <v>-21.768000000000001</v>
      </c>
      <c r="L95" s="38"/>
      <c r="M95" s="38"/>
      <c r="N95" s="42" t="e">
        <f>SUM(N76+N85+N92)</f>
        <v>#REF!</v>
      </c>
      <c r="O95" s="42" t="e">
        <f>SUM(O76+O85+O92)</f>
        <v>#REF!</v>
      </c>
      <c r="P95" s="42" t="e">
        <f>SUM(P76+P85+P92)</f>
        <v>#REF!</v>
      </c>
      <c r="Q95" s="39"/>
      <c r="R95" s="92">
        <f>SUM(R76+R85+R92)</f>
        <v>-59.52</v>
      </c>
      <c r="S95" s="92">
        <f>SUM(S76+S85+S92)</f>
        <v>20.3</v>
      </c>
      <c r="T95" s="92">
        <f>SUM(T76+T85+T92)</f>
        <v>-39.22</v>
      </c>
      <c r="U95" s="42"/>
      <c r="V95" s="410">
        <f>SUM(V76,V85,V92)</f>
        <v>-21.70581</v>
      </c>
      <c r="W95" s="410">
        <f>SUM(W76,W85,W92)</f>
        <v>1.47716</v>
      </c>
      <c r="X95" s="410">
        <f>SUM(X76,X85,X92)</f>
        <v>-20.228650000000002</v>
      </c>
      <c r="Y95" s="67"/>
      <c r="Z95" s="67">
        <f>SUM(Z76,Z85,Z92)</f>
        <v>0</v>
      </c>
      <c r="AA95" s="39"/>
      <c r="AB95" s="253">
        <f>SUM(AB76+AB85+AB92)</f>
        <v>-24.766666666666669</v>
      </c>
      <c r="AC95" s="253">
        <f>SUM(AC76+AC85+AC92)</f>
        <v>10.4</v>
      </c>
      <c r="AD95" s="253">
        <f>SUM(AD76+AD85+AD92)</f>
        <v>-14.366666666666667</v>
      </c>
      <c r="AE95" s="41"/>
      <c r="AF95" s="80"/>
      <c r="AG95" s="194" t="s">
        <v>401</v>
      </c>
      <c r="AH95" s="195"/>
      <c r="AI95" s="230">
        <f>SUM(AI76+AI85+AI92)</f>
        <v>-25.910839999999997</v>
      </c>
      <c r="AJ95" s="230">
        <f>SUM(AJ76+AJ85+AJ92)</f>
        <v>11.882179999999998</v>
      </c>
      <c r="AK95" s="237">
        <f>AJ95+AI95</f>
        <v>-14.028659999999999</v>
      </c>
      <c r="AL95" s="26"/>
      <c r="AM95" s="26"/>
      <c r="AN95" s="26"/>
      <c r="AO95" s="81"/>
      <c r="AP95" s="418">
        <f>SUM(AP76+AP85+AP92+AP93+AP94)</f>
        <v>-56.262</v>
      </c>
      <c r="AQ95" s="418">
        <f>SUM(AQ76+AQ85+AQ92)</f>
        <v>23.785000000000004</v>
      </c>
      <c r="AR95" s="418">
        <f t="shared" si="53"/>
        <v>-32.476999999999997</v>
      </c>
      <c r="AS95" s="225"/>
      <c r="AT95" s="20"/>
      <c r="AU95" s="280" t="s">
        <v>555</v>
      </c>
      <c r="AV95" s="280"/>
      <c r="AW95" s="433">
        <f>SUM(AW76+AW85+AW92)</f>
        <v>-36.70814</v>
      </c>
      <c r="AX95" s="433">
        <f>SUM(AX76+AX85+AX92)</f>
        <v>19.937519999999999</v>
      </c>
      <c r="AY95" s="434">
        <f t="shared" si="50"/>
        <v>-16.770620000000001</v>
      </c>
      <c r="AZ95" s="280"/>
      <c r="BA95" s="280"/>
      <c r="BB95" s="280"/>
      <c r="BC95" s="20"/>
      <c r="BD95" s="227" t="e">
        <f>SUM(BD76+BD85+BD92+BD93+BD94)</f>
        <v>#REF!</v>
      </c>
      <c r="BE95" s="227" t="e">
        <f>SUM(BE76+BE85+BE92+BE93+BE94)</f>
        <v>#REF!</v>
      </c>
      <c r="BF95" s="227" t="e">
        <f>BE95+BD95</f>
        <v>#REF!</v>
      </c>
      <c r="BG95" s="221" t="e">
        <f t="shared" si="52"/>
        <v>#REF!</v>
      </c>
      <c r="BK95" s="436">
        <f>SUM(BK76+BK85+BK92+BK93+BK94)</f>
        <v>-71.082999999999998</v>
      </c>
      <c r="BL95" s="436">
        <f>SUM(BL76+BL85+BL92)</f>
        <v>29.324999999999999</v>
      </c>
      <c r="BM95" s="436">
        <f t="shared" ref="BM95" si="71">BK95+BL95</f>
        <v>-41.757999999999996</v>
      </c>
      <c r="BN95" s="225"/>
    </row>
    <row r="96" spans="1:66" ht="15" customHeight="1" x14ac:dyDescent="0.25">
      <c r="A96" s="324">
        <v>89</v>
      </c>
      <c r="B96" s="392"/>
      <c r="C96" s="393"/>
      <c r="D96" s="41"/>
      <c r="E96" s="41"/>
      <c r="F96" s="41"/>
      <c r="G96" s="38"/>
      <c r="H96" s="39"/>
      <c r="I96" s="41"/>
      <c r="J96" s="41"/>
      <c r="K96" s="41"/>
      <c r="L96" s="38"/>
      <c r="M96" s="38"/>
      <c r="N96" s="41"/>
      <c r="O96" s="41"/>
      <c r="P96" s="41"/>
      <c r="Q96" s="39"/>
      <c r="R96" s="91"/>
      <c r="S96" s="91"/>
      <c r="T96" s="91"/>
      <c r="U96" s="41"/>
      <c r="V96" s="414"/>
      <c r="W96" s="414"/>
      <c r="X96" s="414"/>
      <c r="Y96" s="80"/>
      <c r="Z96" s="80"/>
      <c r="AA96" s="39"/>
      <c r="AB96" s="254"/>
      <c r="AC96" s="254"/>
      <c r="AD96" s="254"/>
      <c r="AE96" s="193"/>
      <c r="AF96" s="199"/>
      <c r="AG96" s="194"/>
      <c r="AH96" s="195"/>
      <c r="AI96" s="604"/>
      <c r="AJ96" s="604"/>
      <c r="AK96" s="604"/>
      <c r="AL96" s="20"/>
      <c r="AM96" s="20"/>
      <c r="AN96" s="20"/>
      <c r="AO96" s="20"/>
      <c r="AP96" s="605"/>
      <c r="AQ96" s="605"/>
      <c r="AR96" s="605"/>
      <c r="AS96" s="225"/>
      <c r="AT96" s="20"/>
      <c r="AU96" s="20"/>
      <c r="AV96" s="20"/>
      <c r="AW96" s="595"/>
      <c r="AX96" s="595"/>
      <c r="AY96" s="595"/>
      <c r="AZ96" s="20"/>
      <c r="BA96" s="20"/>
      <c r="BB96" s="20"/>
      <c r="BC96" s="20"/>
      <c r="BD96" s="599"/>
      <c r="BE96" s="599"/>
      <c r="BF96" s="599"/>
      <c r="BG96" s="221">
        <f t="shared" si="52"/>
        <v>0</v>
      </c>
      <c r="BK96" s="593"/>
      <c r="BL96" s="593"/>
      <c r="BM96" s="593"/>
      <c r="BN96" s="225"/>
    </row>
    <row r="97" spans="1:66" ht="15" customHeight="1" x14ac:dyDescent="0.25">
      <c r="A97" s="324">
        <v>90</v>
      </c>
      <c r="B97" s="396" t="str">
        <f>B$4</f>
        <v>en k€</v>
      </c>
      <c r="C97" s="384"/>
      <c r="D97" s="43" t="s">
        <v>8</v>
      </c>
      <c r="E97" s="43" t="s">
        <v>9</v>
      </c>
      <c r="F97" s="43" t="s">
        <v>64</v>
      </c>
      <c r="G97" s="38"/>
      <c r="H97" s="39"/>
      <c r="I97" s="43" t="s">
        <v>8</v>
      </c>
      <c r="J97" s="43" t="s">
        <v>9</v>
      </c>
      <c r="K97" s="44" t="str">
        <f>K$4</f>
        <v>2018a</v>
      </c>
      <c r="L97" s="38"/>
      <c r="M97" s="38"/>
      <c r="N97" s="43" t="s">
        <v>8</v>
      </c>
      <c r="O97" s="43" t="s">
        <v>9</v>
      </c>
      <c r="P97" s="44" t="str">
        <f>P$4</f>
        <v>2019a</v>
      </c>
      <c r="Q97" s="39"/>
      <c r="R97" s="93" t="s">
        <v>8</v>
      </c>
      <c r="S97" s="93" t="s">
        <v>9</v>
      </c>
      <c r="T97" s="93" t="s">
        <v>64</v>
      </c>
      <c r="U97" s="43"/>
      <c r="V97" s="411" t="s">
        <v>8</v>
      </c>
      <c r="W97" s="411" t="s">
        <v>9</v>
      </c>
      <c r="X97" s="412" t="s">
        <v>64</v>
      </c>
      <c r="Y97" s="80"/>
      <c r="Z97" s="80"/>
      <c r="AA97" s="39"/>
      <c r="AB97" s="235" t="s">
        <v>8</v>
      </c>
      <c r="AC97" s="235" t="s">
        <v>9</v>
      </c>
      <c r="AD97" s="236" t="str">
        <f>AD$4</f>
        <v>résultat</v>
      </c>
      <c r="AE97" s="192"/>
      <c r="AF97" s="199"/>
      <c r="AI97" s="140" t="s">
        <v>8</v>
      </c>
      <c r="AJ97" s="140" t="s">
        <v>9</v>
      </c>
      <c r="AK97" s="95" t="s">
        <v>64</v>
      </c>
      <c r="AL97" s="20"/>
      <c r="AM97" s="20"/>
      <c r="AN97" s="20"/>
      <c r="AO97" s="20"/>
      <c r="AP97" s="422" t="s">
        <v>8</v>
      </c>
      <c r="AQ97" s="422" t="s">
        <v>9</v>
      </c>
      <c r="AR97" s="423" t="str">
        <f>AR$4</f>
        <v>résultat</v>
      </c>
      <c r="AS97" s="225"/>
      <c r="AT97" s="20"/>
      <c r="AU97" s="20"/>
      <c r="AV97" s="20"/>
      <c r="AW97" s="431" t="s">
        <v>8</v>
      </c>
      <c r="AX97" s="431" t="s">
        <v>9</v>
      </c>
      <c r="AY97" s="432" t="s">
        <v>64</v>
      </c>
      <c r="AZ97" s="20"/>
      <c r="BA97" s="20"/>
      <c r="BB97" s="20"/>
      <c r="BC97" s="20"/>
      <c r="BD97" s="233" t="s">
        <v>8</v>
      </c>
      <c r="BE97" s="233" t="s">
        <v>9</v>
      </c>
      <c r="BF97" s="234" t="str">
        <f>BF$4</f>
        <v>résultat</v>
      </c>
      <c r="BG97" s="221"/>
      <c r="BK97" s="440" t="s">
        <v>8</v>
      </c>
      <c r="BL97" s="440" t="s">
        <v>9</v>
      </c>
      <c r="BM97" s="441" t="str">
        <f>BM$4</f>
        <v>résultat</v>
      </c>
      <c r="BN97" s="225"/>
    </row>
    <row r="98" spans="1:66" ht="15" customHeight="1" outlineLevel="2" x14ac:dyDescent="0.25">
      <c r="A98" s="324">
        <v>91</v>
      </c>
      <c r="B98" s="385" t="s">
        <v>47</v>
      </c>
      <c r="C98" s="386" t="s">
        <v>136</v>
      </c>
      <c r="D98" s="37">
        <v>0</v>
      </c>
      <c r="E98" s="37">
        <v>8</v>
      </c>
      <c r="F98" s="37">
        <f>SUM(D98:E98)</f>
        <v>8</v>
      </c>
      <c r="G98" s="38"/>
      <c r="H98" s="39"/>
      <c r="I98" s="37">
        <v>0</v>
      </c>
      <c r="J98" s="37">
        <v>0</v>
      </c>
      <c r="K98" s="37">
        <f t="shared" ref="K98:K103" si="72">SUM(I98:J98)</f>
        <v>0</v>
      </c>
      <c r="L98" s="38"/>
      <c r="M98" s="38"/>
      <c r="N98" s="37" t="e">
        <f>-SUMIF(#REF!,$C98,#REF!)/1000</f>
        <v>#REF!</v>
      </c>
      <c r="O98" s="37" t="e">
        <f>SUMIF(#REF!,$C98,#REF!)/1000</f>
        <v>#REF!</v>
      </c>
      <c r="P98" s="37" t="e">
        <f>N98+O98</f>
        <v>#REF!</v>
      </c>
      <c r="Q98" s="39"/>
      <c r="R98" s="90">
        <v>0</v>
      </c>
      <c r="S98" s="90">
        <v>0</v>
      </c>
      <c r="T98" s="90">
        <f>R98+S98</f>
        <v>0</v>
      </c>
      <c r="U98" s="37"/>
      <c r="V98" s="415">
        <v>0</v>
      </c>
      <c r="W98" s="415">
        <v>0</v>
      </c>
      <c r="X98" s="415">
        <f>SUM(V98:W98)</f>
        <v>0</v>
      </c>
      <c r="Y98" s="46"/>
      <c r="Z98" s="46"/>
      <c r="AA98" s="39"/>
      <c r="AB98" s="255">
        <v>0</v>
      </c>
      <c r="AC98" s="255">
        <v>0</v>
      </c>
      <c r="AD98" s="255">
        <f>AB98+AC98</f>
        <v>0</v>
      </c>
      <c r="AE98" s="193"/>
      <c r="AF98" s="199"/>
      <c r="AG98" s="194"/>
      <c r="AH98" s="195"/>
      <c r="AI98" s="148"/>
      <c r="AJ98" s="148"/>
      <c r="AK98" s="148">
        <f t="shared" ref="AK98:AK99" si="73">AI98+AJ98</f>
        <v>0</v>
      </c>
      <c r="AL98" s="20"/>
      <c r="AM98" s="20"/>
      <c r="AN98" s="20"/>
      <c r="AO98" s="20"/>
      <c r="AP98" s="339"/>
      <c r="AQ98" s="339"/>
      <c r="AR98" s="339">
        <f t="shared" si="53"/>
        <v>0</v>
      </c>
      <c r="AS98" s="225"/>
      <c r="AT98" s="20"/>
      <c r="AU98" s="20"/>
      <c r="AV98" s="20"/>
      <c r="AW98" s="332">
        <v>0</v>
      </c>
      <c r="AX98" s="332">
        <v>0</v>
      </c>
      <c r="AY98" s="332">
        <f t="shared" ref="AY98:AY129" si="74">AX98+AW98</f>
        <v>0</v>
      </c>
      <c r="AZ98" s="20"/>
      <c r="BA98" s="20"/>
      <c r="BB98" s="20"/>
      <c r="BC98" s="20"/>
      <c r="BD98" s="221" t="e">
        <f>-SUMIF(#REF!,'pôles &amp; actions'!$C98,#REF!)/1000</f>
        <v>#REF!</v>
      </c>
      <c r="BE98" s="221" t="e">
        <f>SUMIF(#REF!,'pôles &amp; actions'!$C98,#REF!)/1000</f>
        <v>#REF!</v>
      </c>
      <c r="BF98" s="221" t="e">
        <f t="shared" si="54"/>
        <v>#REF!</v>
      </c>
      <c r="BG98" s="221" t="e">
        <f t="shared" si="52"/>
        <v>#REF!</v>
      </c>
      <c r="BK98" s="345"/>
      <c r="BL98" s="345"/>
      <c r="BM98" s="345">
        <f t="shared" ref="BM98:BM129" si="75">BK98+BL98</f>
        <v>0</v>
      </c>
      <c r="BN98" s="225"/>
    </row>
    <row r="99" spans="1:66" ht="15" customHeight="1" outlineLevel="2" x14ac:dyDescent="0.25">
      <c r="A99" s="324">
        <v>92</v>
      </c>
      <c r="B99" s="385" t="s">
        <v>137</v>
      </c>
      <c r="C99" s="386" t="s">
        <v>138</v>
      </c>
      <c r="D99" s="37">
        <v>0</v>
      </c>
      <c r="E99" s="37">
        <v>0</v>
      </c>
      <c r="F99" s="37">
        <f>SUM(D99:E99)</f>
        <v>0</v>
      </c>
      <c r="G99" s="38"/>
      <c r="H99" s="39"/>
      <c r="I99" s="37">
        <v>0</v>
      </c>
      <c r="J99" s="37">
        <v>0</v>
      </c>
      <c r="K99" s="37">
        <f t="shared" si="72"/>
        <v>0</v>
      </c>
      <c r="L99" s="38"/>
      <c r="M99" s="38"/>
      <c r="N99" s="37" t="e">
        <f>-SUMIF(#REF!,$C99,#REF!)/1000</f>
        <v>#REF!</v>
      </c>
      <c r="O99" s="37" t="e">
        <f>SUMIF(#REF!,$C99,#REF!)/1000</f>
        <v>#REF!</v>
      </c>
      <c r="P99" s="37" t="e">
        <f>N99+O99</f>
        <v>#REF!</v>
      </c>
      <c r="Q99" s="39"/>
      <c r="R99" s="90">
        <v>0</v>
      </c>
      <c r="S99" s="90">
        <v>0</v>
      </c>
      <c r="T99" s="90">
        <f>R99+S99</f>
        <v>0</v>
      </c>
      <c r="U99" s="37"/>
      <c r="V99" s="415">
        <v>0</v>
      </c>
      <c r="W99" s="415">
        <v>0</v>
      </c>
      <c r="X99" s="415">
        <f>SUM(V99:W99)</f>
        <v>0</v>
      </c>
      <c r="Y99" s="46"/>
      <c r="Z99" s="46"/>
      <c r="AA99" s="39"/>
      <c r="AB99" s="255">
        <v>0</v>
      </c>
      <c r="AC99" s="255">
        <v>0</v>
      </c>
      <c r="AD99" s="255">
        <f>AB99+AC99</f>
        <v>0</v>
      </c>
      <c r="AE99" s="193"/>
      <c r="AF99" s="199"/>
      <c r="AG99" s="194"/>
      <c r="AH99" s="195"/>
      <c r="AI99" s="148"/>
      <c r="AJ99" s="148"/>
      <c r="AK99" s="148">
        <f t="shared" si="73"/>
        <v>0</v>
      </c>
      <c r="AL99" s="20"/>
      <c r="AM99" s="20"/>
      <c r="AN99" s="20"/>
      <c r="AO99" s="20"/>
      <c r="AP99" s="339"/>
      <c r="AQ99" s="339"/>
      <c r="AR99" s="339">
        <f t="shared" si="53"/>
        <v>0</v>
      </c>
      <c r="AS99" s="225"/>
      <c r="AT99" s="20"/>
      <c r="AU99" s="20"/>
      <c r="AV99" s="20"/>
      <c r="AW99" s="332">
        <v>0</v>
      </c>
      <c r="AX99" s="332">
        <v>0</v>
      </c>
      <c r="AY99" s="332">
        <f t="shared" si="74"/>
        <v>0</v>
      </c>
      <c r="AZ99" s="20"/>
      <c r="BA99" s="20"/>
      <c r="BB99" s="20"/>
      <c r="BC99" s="20"/>
      <c r="BD99" s="221" t="e">
        <f>-SUMIF(#REF!,'pôles &amp; actions'!$C99,#REF!)/1000</f>
        <v>#REF!</v>
      </c>
      <c r="BE99" s="221" t="e">
        <f>SUMIF(#REF!,'pôles &amp; actions'!$C99,#REF!)/1000</f>
        <v>#REF!</v>
      </c>
      <c r="BF99" s="221" t="e">
        <f t="shared" si="54"/>
        <v>#REF!</v>
      </c>
      <c r="BG99" s="221" t="e">
        <f t="shared" si="52"/>
        <v>#REF!</v>
      </c>
      <c r="BK99" s="345"/>
      <c r="BL99" s="345"/>
      <c r="BM99" s="345">
        <f t="shared" si="75"/>
        <v>0</v>
      </c>
      <c r="BN99" s="225"/>
    </row>
    <row r="100" spans="1:66" ht="15" customHeight="1" outlineLevel="1" x14ac:dyDescent="0.25">
      <c r="A100" s="324">
        <v>93</v>
      </c>
      <c r="B100" s="385" t="s">
        <v>139</v>
      </c>
      <c r="C100" s="386" t="s">
        <v>140</v>
      </c>
      <c r="D100" s="37">
        <v>-18</v>
      </c>
      <c r="E100" s="37">
        <v>18</v>
      </c>
      <c r="F100" s="37">
        <f>SUM(D100:E100)</f>
        <v>0</v>
      </c>
      <c r="G100" s="38"/>
      <c r="H100" s="39"/>
      <c r="I100" s="37">
        <v>-39.700000000000003</v>
      </c>
      <c r="J100" s="37">
        <v>41.7</v>
      </c>
      <c r="K100" s="37">
        <f t="shared" si="72"/>
        <v>2</v>
      </c>
      <c r="L100" s="38"/>
      <c r="M100" s="38"/>
      <c r="N100" s="37" t="e">
        <f>-SUMIF(#REF!,$C100,#REF!)/1000</f>
        <v>#REF!</v>
      </c>
      <c r="O100" s="37" t="e">
        <f>SUMIF(#REF!,$C100,#REF!)/1000</f>
        <v>#REF!</v>
      </c>
      <c r="P100" s="37" t="e">
        <f>N100+O100</f>
        <v>#REF!</v>
      </c>
      <c r="Q100" s="39"/>
      <c r="R100" s="156">
        <v>-17</v>
      </c>
      <c r="S100" s="156">
        <v>17</v>
      </c>
      <c r="T100" s="156">
        <f>R100+S100</f>
        <v>0</v>
      </c>
      <c r="U100" s="37"/>
      <c r="V100" s="406">
        <v>-10.05944</v>
      </c>
      <c r="W100" s="406">
        <v>9.5642099999999992</v>
      </c>
      <c r="X100" s="406">
        <f>SUM(V100:W100)</f>
        <v>-0.49523000000000117</v>
      </c>
      <c r="Y100" s="46"/>
      <c r="Z100" s="46"/>
      <c r="AA100" s="39"/>
      <c r="AB100" s="247">
        <v>-17.5</v>
      </c>
      <c r="AC100" s="247">
        <v>17</v>
      </c>
      <c r="AD100" s="247">
        <f>AB100+AC100</f>
        <v>-0.5</v>
      </c>
      <c r="AE100" s="193"/>
      <c r="AF100" s="199"/>
      <c r="AG100" s="194"/>
      <c r="AH100" s="195"/>
      <c r="AI100" s="163">
        <v>-19.65164</v>
      </c>
      <c r="AJ100" s="163">
        <v>17.450419999999998</v>
      </c>
      <c r="AK100" s="163">
        <v>-2.2012200000000028</v>
      </c>
      <c r="AL100" s="20"/>
      <c r="AM100" s="20"/>
      <c r="AN100" s="20"/>
      <c r="AO100" s="20"/>
      <c r="AP100" s="339">
        <v>-17.5</v>
      </c>
      <c r="AQ100" s="339">
        <v>17.5</v>
      </c>
      <c r="AR100" s="339">
        <f t="shared" si="53"/>
        <v>0</v>
      </c>
      <c r="AS100" s="225"/>
      <c r="AT100" s="20"/>
      <c r="AU100" s="278" t="s">
        <v>509</v>
      </c>
      <c r="AV100" s="278"/>
      <c r="AW100" s="331">
        <v>-23.588559999999998</v>
      </c>
      <c r="AX100" s="331">
        <v>17.589209999999998</v>
      </c>
      <c r="AY100" s="331">
        <f t="shared" si="74"/>
        <v>-5.9993499999999997</v>
      </c>
      <c r="AZ100" s="278"/>
      <c r="BA100" s="278"/>
      <c r="BB100" s="278"/>
      <c r="BC100" s="20"/>
      <c r="BD100" s="221" t="e">
        <f>-SUMIF(#REF!,'pôles &amp; actions'!$C100,#REF!)/1000</f>
        <v>#REF!</v>
      </c>
      <c r="BE100" s="221" t="e">
        <f>SUMIF(#REF!,'pôles &amp; actions'!$C100,#REF!)/1000</f>
        <v>#REF!</v>
      </c>
      <c r="BF100" s="221" t="e">
        <f t="shared" si="54"/>
        <v>#REF!</v>
      </c>
      <c r="BG100" s="221" t="e">
        <f t="shared" si="52"/>
        <v>#REF!</v>
      </c>
      <c r="BK100" s="345">
        <v>-17.5</v>
      </c>
      <c r="BL100" s="345">
        <v>17.5</v>
      </c>
      <c r="BM100" s="345">
        <f t="shared" si="75"/>
        <v>0</v>
      </c>
      <c r="BN100" s="225"/>
    </row>
    <row r="101" spans="1:66" ht="15" customHeight="1" outlineLevel="2" x14ac:dyDescent="0.25">
      <c r="A101" s="324">
        <v>94</v>
      </c>
      <c r="B101" s="385" t="s">
        <v>141</v>
      </c>
      <c r="C101" s="386" t="s">
        <v>142</v>
      </c>
      <c r="D101" s="37">
        <v>-42</v>
      </c>
      <c r="E101" s="37">
        <v>44</v>
      </c>
      <c r="F101" s="37">
        <f>SUM(D101:E101)</f>
        <v>2</v>
      </c>
      <c r="G101" s="38"/>
      <c r="H101" s="39"/>
      <c r="I101" s="37">
        <v>-43.4</v>
      </c>
      <c r="J101" s="37">
        <v>39.9</v>
      </c>
      <c r="K101" s="37">
        <f t="shared" si="72"/>
        <v>-3.5</v>
      </c>
      <c r="L101" s="38"/>
      <c r="M101" s="38"/>
      <c r="N101" s="37" t="e">
        <f>-SUMIF(#REF!,$C101,#REF!)/1000</f>
        <v>#REF!</v>
      </c>
      <c r="O101" s="37" t="e">
        <f>SUMIF(#REF!,$C101,#REF!)/1000</f>
        <v>#REF!</v>
      </c>
      <c r="P101" s="37" t="e">
        <f>N101+O101</f>
        <v>#REF!</v>
      </c>
      <c r="Q101" s="39"/>
      <c r="R101" s="157">
        <v>-40</v>
      </c>
      <c r="S101" s="157">
        <v>40</v>
      </c>
      <c r="T101" s="157">
        <f>R101+S101</f>
        <v>0</v>
      </c>
      <c r="U101" s="37"/>
      <c r="V101" s="407">
        <v>-39.552810000000001</v>
      </c>
      <c r="W101" s="407">
        <v>36.541390000000007</v>
      </c>
      <c r="X101" s="407">
        <f>SUM(V101:W101)</f>
        <v>-3.011419999999994</v>
      </c>
      <c r="Y101" s="46"/>
      <c r="Z101" s="46"/>
      <c r="AA101" s="39"/>
      <c r="AB101" s="248">
        <v>-40.5</v>
      </c>
      <c r="AC101" s="248">
        <v>40</v>
      </c>
      <c r="AD101" s="248">
        <f>AB101+AC101</f>
        <v>-0.5</v>
      </c>
      <c r="AE101" s="193"/>
      <c r="AF101" s="199"/>
      <c r="AG101" s="194"/>
      <c r="AH101" s="195"/>
      <c r="AI101" s="163">
        <v>-39.634</v>
      </c>
      <c r="AJ101" s="163">
        <v>35.93817</v>
      </c>
      <c r="AK101" s="163">
        <v>-3.6958300000000008</v>
      </c>
      <c r="AL101" s="20"/>
      <c r="AM101" s="20"/>
      <c r="AN101" s="20"/>
      <c r="AO101" s="20"/>
      <c r="AP101" s="339">
        <v>-40.5</v>
      </c>
      <c r="AQ101" s="339">
        <v>40.5</v>
      </c>
      <c r="AR101" s="339">
        <f t="shared" si="53"/>
        <v>0</v>
      </c>
      <c r="AS101" s="225"/>
      <c r="AT101" s="20"/>
      <c r="AU101" s="20" t="s">
        <v>510</v>
      </c>
      <c r="AV101" s="20"/>
      <c r="AW101" s="331">
        <v>-58.678700000000006</v>
      </c>
      <c r="AX101" s="331">
        <v>45.136729999999993</v>
      </c>
      <c r="AY101" s="331">
        <f t="shared" si="74"/>
        <v>-13.541970000000013</v>
      </c>
      <c r="AZ101" s="20"/>
      <c r="BA101" s="20"/>
      <c r="BB101" s="20"/>
      <c r="BC101" s="20"/>
      <c r="BD101" s="221" t="e">
        <f>-SUMIF(#REF!,'pôles &amp; actions'!$C101,#REF!)/1000</f>
        <v>#REF!</v>
      </c>
      <c r="BE101" s="221" t="e">
        <f>SUMIF(#REF!,'pôles &amp; actions'!$C101,#REF!)/1000</f>
        <v>#REF!</v>
      </c>
      <c r="BF101" s="221" t="e">
        <f t="shared" si="54"/>
        <v>#REF!</v>
      </c>
      <c r="BG101" s="221" t="e">
        <f t="shared" si="52"/>
        <v>#REF!</v>
      </c>
      <c r="BK101" s="345">
        <v>-40.5</v>
      </c>
      <c r="BL101" s="345">
        <v>40.5</v>
      </c>
      <c r="BM101" s="345">
        <f t="shared" si="75"/>
        <v>0</v>
      </c>
      <c r="BN101" s="225"/>
    </row>
    <row r="102" spans="1:66" ht="15" customHeight="1" outlineLevel="2" x14ac:dyDescent="0.25">
      <c r="A102" s="324">
        <v>95</v>
      </c>
      <c r="B102" s="385" t="s">
        <v>57</v>
      </c>
      <c r="C102" s="386" t="s">
        <v>143</v>
      </c>
      <c r="D102" s="37"/>
      <c r="E102" s="37"/>
      <c r="F102" s="37"/>
      <c r="G102" s="38"/>
      <c r="H102" s="39"/>
      <c r="I102" s="37">
        <v>-1.7150000000000001</v>
      </c>
      <c r="J102" s="37">
        <v>19.5</v>
      </c>
      <c r="K102" s="37">
        <f t="shared" si="72"/>
        <v>17.785</v>
      </c>
      <c r="L102" s="38"/>
      <c r="M102" s="38"/>
      <c r="N102" s="37" t="e">
        <f>-SUMIF(#REF!,$C102,#REF!)/1000</f>
        <v>#REF!</v>
      </c>
      <c r="O102" s="37" t="e">
        <f>SUMIF(#REF!,$C102,#REF!)/1000</f>
        <v>#REF!</v>
      </c>
      <c r="P102" s="37" t="e">
        <f>N102+O102</f>
        <v>#REF!</v>
      </c>
      <c r="Q102" s="39"/>
      <c r="R102" s="157"/>
      <c r="S102" s="157"/>
      <c r="T102" s="157"/>
      <c r="U102" s="37"/>
      <c r="V102" s="407">
        <v>0</v>
      </c>
      <c r="W102" s="407">
        <v>0</v>
      </c>
      <c r="X102" s="407">
        <f>SUM(V102:W102)</f>
        <v>0</v>
      </c>
      <c r="Y102" s="46"/>
      <c r="Z102" s="46"/>
      <c r="AA102" s="39"/>
      <c r="AB102" s="248"/>
      <c r="AC102" s="248">
        <v>0.5</v>
      </c>
      <c r="AD102" s="248">
        <f>AB102+AC102</f>
        <v>0.5</v>
      </c>
      <c r="AE102" s="193"/>
      <c r="AF102" s="199"/>
      <c r="AG102" s="194"/>
      <c r="AH102" s="195"/>
      <c r="AI102" s="163">
        <v>0</v>
      </c>
      <c r="AJ102" s="163">
        <v>0</v>
      </c>
      <c r="AK102" s="163">
        <v>0</v>
      </c>
      <c r="AL102" s="20"/>
      <c r="AM102" s="20"/>
      <c r="AN102" s="20"/>
      <c r="AO102" s="20"/>
      <c r="AP102" s="339"/>
      <c r="AQ102" s="339"/>
      <c r="AR102" s="339">
        <f t="shared" si="53"/>
        <v>0</v>
      </c>
      <c r="AS102" s="225"/>
      <c r="AT102" s="20"/>
      <c r="AU102" s="20"/>
      <c r="AV102" s="20"/>
      <c r="AW102" s="331">
        <v>0</v>
      </c>
      <c r="AX102" s="331">
        <v>0</v>
      </c>
      <c r="AY102" s="331">
        <f t="shared" si="74"/>
        <v>0</v>
      </c>
      <c r="AZ102" s="20"/>
      <c r="BA102" s="20"/>
      <c r="BB102" s="20"/>
      <c r="BC102" s="20"/>
      <c r="BD102" s="221" t="e">
        <f>-SUMIF(#REF!,'pôles &amp; actions'!$C102,#REF!)/1000</f>
        <v>#REF!</v>
      </c>
      <c r="BE102" s="221" t="e">
        <f>SUMIF(#REF!,'pôles &amp; actions'!$C102,#REF!)/1000</f>
        <v>#REF!</v>
      </c>
      <c r="BF102" s="221" t="e">
        <f t="shared" si="54"/>
        <v>#REF!</v>
      </c>
      <c r="BG102" s="221" t="e">
        <f t="shared" si="52"/>
        <v>#REF!</v>
      </c>
      <c r="BK102" s="345"/>
      <c r="BL102" s="345"/>
      <c r="BM102" s="345">
        <f t="shared" si="75"/>
        <v>0</v>
      </c>
      <c r="BN102" s="225"/>
    </row>
    <row r="103" spans="1:66" ht="15" customHeight="1" outlineLevel="1" x14ac:dyDescent="0.25">
      <c r="A103" s="324">
        <v>96</v>
      </c>
      <c r="B103" s="392" t="s">
        <v>73</v>
      </c>
      <c r="C103" s="393"/>
      <c r="D103" s="41">
        <f>SUM(D98:D101)</f>
        <v>-60</v>
      </c>
      <c r="E103" s="41">
        <f>SUM(E98:E101)</f>
        <v>70</v>
      </c>
      <c r="F103" s="41">
        <f>SUM(D103:E103)</f>
        <v>10</v>
      </c>
      <c r="G103" s="38"/>
      <c r="H103" s="39"/>
      <c r="I103" s="41">
        <f>SUM(I98:I102)</f>
        <v>-84.814999999999998</v>
      </c>
      <c r="J103" s="41">
        <f>SUM(J98:J102)</f>
        <v>101.1</v>
      </c>
      <c r="K103" s="41">
        <f t="shared" si="72"/>
        <v>16.284999999999997</v>
      </c>
      <c r="L103" s="38"/>
      <c r="M103" s="38"/>
      <c r="N103" s="41" t="e">
        <f>SUM(N98:N102)</f>
        <v>#REF!</v>
      </c>
      <c r="O103" s="41" t="e">
        <f>SUM(O98:O102)</f>
        <v>#REF!</v>
      </c>
      <c r="P103" s="41" t="e">
        <f>SUM(P98:P102)</f>
        <v>#REF!</v>
      </c>
      <c r="Q103" s="39"/>
      <c r="R103" s="158">
        <f>SUM(R98:R101)</f>
        <v>-57</v>
      </c>
      <c r="S103" s="158">
        <f>SUM(S98:S101)</f>
        <v>57</v>
      </c>
      <c r="T103" s="158">
        <f>SUM(T98:T101)</f>
        <v>0</v>
      </c>
      <c r="U103" s="41"/>
      <c r="V103" s="408">
        <f t="shared" ref="V103:W103" si="76">SUM(V98:V102)</f>
        <v>-49.612250000000003</v>
      </c>
      <c r="W103" s="408">
        <f t="shared" si="76"/>
        <v>46.10560000000001</v>
      </c>
      <c r="X103" s="408">
        <f>SUM(X98:X102)</f>
        <v>-3.5066499999999952</v>
      </c>
      <c r="Y103" s="80"/>
      <c r="Z103" s="80">
        <f>SUM(Z98:Z102)</f>
        <v>0</v>
      </c>
      <c r="AA103" s="39"/>
      <c r="AB103" s="249">
        <f>SUM(AB98:AB102)</f>
        <v>-58</v>
      </c>
      <c r="AC103" s="249">
        <f>SUM(AC98:AC102)</f>
        <v>57.5</v>
      </c>
      <c r="AD103" s="249">
        <f>SUM(AD98:AD102)</f>
        <v>-0.5</v>
      </c>
      <c r="AE103" s="41"/>
      <c r="AF103" s="80"/>
      <c r="AG103" s="194"/>
      <c r="AH103" s="195"/>
      <c r="AI103" s="285">
        <f>SUM(AI100:AI102)</f>
        <v>-59.285640000000001</v>
      </c>
      <c r="AJ103" s="285">
        <f>SUM(AJ100:AJ102)</f>
        <v>53.388589999999994</v>
      </c>
      <c r="AK103" s="285">
        <f>AJ103+AI103</f>
        <v>-5.8970500000000072</v>
      </c>
      <c r="AL103" s="81"/>
      <c r="AM103" s="81"/>
      <c r="AN103" s="81"/>
      <c r="AO103" s="81"/>
      <c r="AP103" s="340">
        <f>SUM(AP98:AP102)</f>
        <v>-58</v>
      </c>
      <c r="AQ103" s="340">
        <f>SUM(AQ98:AQ102)</f>
        <v>58</v>
      </c>
      <c r="AR103" s="340">
        <f t="shared" si="53"/>
        <v>0</v>
      </c>
      <c r="AS103" s="226"/>
      <c r="AT103" s="81"/>
      <c r="AU103" s="81"/>
      <c r="AV103" s="81"/>
      <c r="AW103" s="430">
        <f>SUM(AW100:AW102)</f>
        <v>-82.267260000000007</v>
      </c>
      <c r="AX103" s="430">
        <f>SUM(AX100:AX102)</f>
        <v>62.725939999999994</v>
      </c>
      <c r="AY103" s="430">
        <f t="shared" si="74"/>
        <v>-19.541320000000013</v>
      </c>
      <c r="AZ103" s="81"/>
      <c r="BA103" s="81"/>
      <c r="BB103" s="81"/>
      <c r="BC103" s="81"/>
      <c r="BD103" s="227" t="e">
        <f>SUM(BD98:BD102)</f>
        <v>#REF!</v>
      </c>
      <c r="BE103" s="227" t="e">
        <f>SUM(BE98:BE102)</f>
        <v>#REF!</v>
      </c>
      <c r="BF103" s="227" t="e">
        <f t="shared" si="54"/>
        <v>#REF!</v>
      </c>
      <c r="BG103" s="221" t="e">
        <f t="shared" ref="BG103:BG134" si="77">AR103-BF103</f>
        <v>#REF!</v>
      </c>
      <c r="BK103" s="346">
        <f>SUM(BK98:BK102)</f>
        <v>-58</v>
      </c>
      <c r="BL103" s="346">
        <f>SUM(BL98:BL102)</f>
        <v>58</v>
      </c>
      <c r="BM103" s="346">
        <f t="shared" si="75"/>
        <v>0</v>
      </c>
      <c r="BN103" s="226"/>
    </row>
    <row r="104" spans="1:66" ht="15" customHeight="1" outlineLevel="2" x14ac:dyDescent="0.25">
      <c r="A104" s="324">
        <v>97</v>
      </c>
      <c r="B104" s="385" t="s">
        <v>47</v>
      </c>
      <c r="C104" s="386" t="s">
        <v>144</v>
      </c>
      <c r="D104" s="37">
        <v>-3.24</v>
      </c>
      <c r="E104" s="37">
        <v>0</v>
      </c>
      <c r="F104" s="37">
        <f>SUM(D104:E104)</f>
        <v>-3.24</v>
      </c>
      <c r="G104" s="38"/>
      <c r="H104" s="39"/>
      <c r="I104" s="37">
        <v>-4.9400000000000004</v>
      </c>
      <c r="J104" s="37">
        <v>3.8</v>
      </c>
      <c r="K104" s="37">
        <f>SUM(I104:J104)</f>
        <v>-1.1400000000000006</v>
      </c>
      <c r="L104" s="38"/>
      <c r="M104" s="38"/>
      <c r="N104" s="37" t="e">
        <f>-SUMIF(#REF!,$C104,#REF!)/1000</f>
        <v>#REF!</v>
      </c>
      <c r="O104" s="37" t="e">
        <f>SUMIF(#REF!,$C104,#REF!)/1000</f>
        <v>#REF!</v>
      </c>
      <c r="P104" s="37" t="e">
        <f>N104+O104</f>
        <v>#REF!</v>
      </c>
      <c r="Q104" s="39"/>
      <c r="R104" s="157">
        <v>-6.8719999999999999</v>
      </c>
      <c r="S104" s="157">
        <v>0</v>
      </c>
      <c r="T104" s="157">
        <f>R104+S104</f>
        <v>-6.8719999999999999</v>
      </c>
      <c r="U104" s="37"/>
      <c r="V104" s="407">
        <v>-0.54720000000000002</v>
      </c>
      <c r="W104" s="407">
        <v>0</v>
      </c>
      <c r="X104" s="407">
        <f>SUM(V104:W104)</f>
        <v>-0.54720000000000002</v>
      </c>
      <c r="Y104" s="46"/>
      <c r="Z104" s="46"/>
      <c r="AA104" s="39"/>
      <c r="AB104" s="248">
        <v>-5.2</v>
      </c>
      <c r="AC104" s="248">
        <v>2.5</v>
      </c>
      <c r="AD104" s="248">
        <f>AB104+AC104</f>
        <v>-2.7</v>
      </c>
      <c r="AE104" s="193"/>
      <c r="AF104" s="199"/>
      <c r="AG104" s="194" t="s">
        <v>402</v>
      </c>
      <c r="AH104" s="195"/>
      <c r="AI104" s="163">
        <v>-2.5946100000000003</v>
      </c>
      <c r="AJ104" s="163">
        <v>0</v>
      </c>
      <c r="AK104" s="163">
        <v>-2.5946100000000003</v>
      </c>
      <c r="AL104" s="20"/>
      <c r="AM104" s="20"/>
      <c r="AN104" s="20"/>
      <c r="AO104" s="20"/>
      <c r="AP104" s="427">
        <v>-5.2</v>
      </c>
      <c r="AQ104" s="427">
        <v>2.5</v>
      </c>
      <c r="AR104" s="339">
        <f t="shared" si="53"/>
        <v>-2.7</v>
      </c>
      <c r="AS104" s="225"/>
      <c r="AT104" s="20"/>
      <c r="AU104" s="20"/>
      <c r="AV104" s="20"/>
      <c r="AW104" s="331">
        <v>-7.6908899999999996</v>
      </c>
      <c r="AX104" s="331">
        <v>0.48386000000000001</v>
      </c>
      <c r="AY104" s="331">
        <f t="shared" si="74"/>
        <v>-7.2070299999999996</v>
      </c>
      <c r="AZ104" s="20"/>
      <c r="BA104" s="20"/>
      <c r="BB104" s="20"/>
      <c r="BC104" s="20"/>
      <c r="BD104" s="221" t="e">
        <f>-SUMIF(#REF!,'pôles &amp; actions'!$C104,#REF!)/1000</f>
        <v>#REF!</v>
      </c>
      <c r="BE104" s="221" t="e">
        <f>SUMIF(#REF!,'pôles &amp; actions'!$C104,#REF!)/1000</f>
        <v>#REF!</v>
      </c>
      <c r="BF104" s="221" t="e">
        <f t="shared" si="54"/>
        <v>#REF!</v>
      </c>
      <c r="BG104" s="221" t="e">
        <f t="shared" si="77"/>
        <v>#REF!</v>
      </c>
      <c r="BK104" s="345">
        <v>-5.2</v>
      </c>
      <c r="BL104" s="345">
        <v>2.5</v>
      </c>
      <c r="BM104" s="345">
        <f t="shared" si="75"/>
        <v>-2.7</v>
      </c>
      <c r="BN104" s="225"/>
    </row>
    <row r="105" spans="1:66" ht="15" customHeight="1" outlineLevel="2" x14ac:dyDescent="0.25">
      <c r="A105" s="324">
        <v>98</v>
      </c>
      <c r="B105" s="385" t="s">
        <v>43</v>
      </c>
      <c r="C105" s="386" t="s">
        <v>145</v>
      </c>
      <c r="D105" s="37">
        <v>0</v>
      </c>
      <c r="E105" s="37">
        <v>0</v>
      </c>
      <c r="F105" s="37">
        <f>SUM(D105:E105)</f>
        <v>0</v>
      </c>
      <c r="G105" s="38"/>
      <c r="H105" s="39"/>
      <c r="I105" s="37">
        <v>0</v>
      </c>
      <c r="J105" s="37">
        <v>0</v>
      </c>
      <c r="K105" s="37">
        <f>SUM(I105:J105)</f>
        <v>0</v>
      </c>
      <c r="L105" s="38"/>
      <c r="M105" s="38"/>
      <c r="N105" s="37" t="e">
        <f>-SUMIF(#REF!,$C105,#REF!)/1000</f>
        <v>#REF!</v>
      </c>
      <c r="O105" s="37" t="e">
        <f>SUMIF(#REF!,$C105,#REF!)/1000</f>
        <v>#REF!</v>
      </c>
      <c r="P105" s="37" t="e">
        <f>N105+O105</f>
        <v>#REF!</v>
      </c>
      <c r="Q105" s="39"/>
      <c r="R105" s="157">
        <v>-1</v>
      </c>
      <c r="S105" s="157">
        <v>0</v>
      </c>
      <c r="T105" s="157">
        <f>R105+S105</f>
        <v>-1</v>
      </c>
      <c r="U105" s="37"/>
      <c r="V105" s="407">
        <v>0</v>
      </c>
      <c r="W105" s="407">
        <v>0</v>
      </c>
      <c r="X105" s="407">
        <f>SUM(V105:W105)</f>
        <v>0</v>
      </c>
      <c r="Y105" s="46"/>
      <c r="Z105" s="46">
        <f>SUM(X105:X105)</f>
        <v>0</v>
      </c>
      <c r="AA105" s="39"/>
      <c r="AB105" s="248">
        <v>-0.6</v>
      </c>
      <c r="AC105" s="248"/>
      <c r="AD105" s="248">
        <f>AB105+AC105</f>
        <v>-0.6</v>
      </c>
      <c r="AE105" s="193"/>
      <c r="AF105" s="199"/>
      <c r="AG105" s="194"/>
      <c r="AH105" s="195"/>
      <c r="AI105" s="163">
        <v>0</v>
      </c>
      <c r="AJ105" s="163">
        <v>0</v>
      </c>
      <c r="AK105" s="163">
        <v>0</v>
      </c>
      <c r="AL105" s="20"/>
      <c r="AM105" s="20"/>
      <c r="AN105" s="20"/>
      <c r="AO105" s="20"/>
      <c r="AP105" s="427">
        <v>-0.6</v>
      </c>
      <c r="AQ105" s="427"/>
      <c r="AR105" s="339">
        <f t="shared" si="53"/>
        <v>-0.6</v>
      </c>
      <c r="AS105" s="225"/>
      <c r="AT105" s="20"/>
      <c r="AU105" s="20"/>
      <c r="AV105" s="20"/>
      <c r="AW105" s="331">
        <v>-0.17880000000000001</v>
      </c>
      <c r="AX105" s="331">
        <v>0.17880000000000001</v>
      </c>
      <c r="AY105" s="331">
        <f t="shared" si="74"/>
        <v>0</v>
      </c>
      <c r="AZ105" s="20"/>
      <c r="BA105" s="20"/>
      <c r="BB105" s="20"/>
      <c r="BC105" s="20"/>
      <c r="BD105" s="221" t="e">
        <f>-SUMIF(#REF!,'pôles &amp; actions'!$C105,#REF!)/1000</f>
        <v>#REF!</v>
      </c>
      <c r="BE105" s="221" t="e">
        <f>SUMIF(#REF!,'pôles &amp; actions'!$C105,#REF!)/1000</f>
        <v>#REF!</v>
      </c>
      <c r="BF105" s="221" t="e">
        <f t="shared" si="54"/>
        <v>#REF!</v>
      </c>
      <c r="BG105" s="221" t="e">
        <f t="shared" si="77"/>
        <v>#REF!</v>
      </c>
      <c r="BK105" s="345">
        <v>-0.6</v>
      </c>
      <c r="BL105" s="345"/>
      <c r="BM105" s="345">
        <f t="shared" si="75"/>
        <v>-0.6</v>
      </c>
      <c r="BN105" s="225"/>
    </row>
    <row r="106" spans="1:66" ht="15" customHeight="1" outlineLevel="2" x14ac:dyDescent="0.25">
      <c r="A106" s="324">
        <v>99</v>
      </c>
      <c r="B106" s="385" t="s">
        <v>39</v>
      </c>
      <c r="C106" s="386" t="s">
        <v>146</v>
      </c>
      <c r="D106" s="37">
        <v>-2.6</v>
      </c>
      <c r="E106" s="37">
        <v>0</v>
      </c>
      <c r="F106" s="37">
        <f>SUM(D106:E106)</f>
        <v>-2.6</v>
      </c>
      <c r="G106" s="38"/>
      <c r="H106" s="39"/>
      <c r="I106" s="37">
        <v>-0.74399999999999999</v>
      </c>
      <c r="J106" s="37">
        <v>0</v>
      </c>
      <c r="K106" s="37">
        <f>SUM(I106:J106)</f>
        <v>-0.74399999999999999</v>
      </c>
      <c r="L106" s="38"/>
      <c r="M106" s="38"/>
      <c r="N106" s="37" t="e">
        <f>-SUMIF(#REF!,$C106,#REF!)/1000</f>
        <v>#REF!</v>
      </c>
      <c r="O106" s="37" t="e">
        <f>SUMIF(#REF!,$C106,#REF!)/1000</f>
        <v>#REF!</v>
      </c>
      <c r="P106" s="37" t="e">
        <f>N106+O106</f>
        <v>#REF!</v>
      </c>
      <c r="Q106" s="39"/>
      <c r="R106" s="157"/>
      <c r="S106" s="157"/>
      <c r="T106" s="157">
        <f>R106+S106</f>
        <v>0</v>
      </c>
      <c r="U106" s="37"/>
      <c r="V106" s="407">
        <v>0</v>
      </c>
      <c r="W106" s="407">
        <v>0</v>
      </c>
      <c r="X106" s="407">
        <f>SUM(V106:W106)</f>
        <v>0</v>
      </c>
      <c r="Y106" s="46"/>
      <c r="Z106" s="46">
        <f>SUM(X106:X106)</f>
        <v>0</v>
      </c>
      <c r="AA106" s="39"/>
      <c r="AB106" s="248"/>
      <c r="AC106" s="248"/>
      <c r="AD106" s="248">
        <f>AB106+AC106</f>
        <v>0</v>
      </c>
      <c r="AE106" s="193"/>
      <c r="AF106" s="199"/>
      <c r="AG106" s="194"/>
      <c r="AH106" s="195"/>
      <c r="AI106" s="163">
        <v>-0.17245999999999997</v>
      </c>
      <c r="AJ106" s="163">
        <v>0</v>
      </c>
      <c r="AK106" s="163">
        <v>-0.17245999999999997</v>
      </c>
      <c r="AL106" s="20"/>
      <c r="AM106" s="20"/>
      <c r="AN106" s="20"/>
      <c r="AO106" s="20"/>
      <c r="AP106" s="427"/>
      <c r="AQ106" s="427"/>
      <c r="AR106" s="339">
        <f t="shared" si="53"/>
        <v>0</v>
      </c>
      <c r="AS106" s="225"/>
      <c r="AT106" s="20"/>
      <c r="AU106" s="20"/>
      <c r="AV106" s="20"/>
      <c r="AW106" s="331">
        <v>-0.44689000000000001</v>
      </c>
      <c r="AX106" s="331">
        <v>0.26512000000000002</v>
      </c>
      <c r="AY106" s="331">
        <f t="shared" si="74"/>
        <v>-0.18176999999999999</v>
      </c>
      <c r="AZ106" s="20"/>
      <c r="BA106" s="20"/>
      <c r="BB106" s="20"/>
      <c r="BC106" s="20"/>
      <c r="BD106" s="221" t="e">
        <f>-SUMIF(#REF!,'pôles &amp; actions'!$C106,#REF!)/1000</f>
        <v>#REF!</v>
      </c>
      <c r="BE106" s="221" t="e">
        <f>SUMIF(#REF!,'pôles &amp; actions'!$C106,#REF!)/1000</f>
        <v>#REF!</v>
      </c>
      <c r="BF106" s="221" t="e">
        <f t="shared" si="54"/>
        <v>#REF!</v>
      </c>
      <c r="BG106" s="221" t="e">
        <f t="shared" si="77"/>
        <v>#REF!</v>
      </c>
      <c r="BK106" s="345"/>
      <c r="BL106" s="345"/>
      <c r="BM106" s="345">
        <f t="shared" si="75"/>
        <v>0</v>
      </c>
      <c r="BN106" s="225"/>
    </row>
    <row r="107" spans="1:66" ht="15" customHeight="1" outlineLevel="1" x14ac:dyDescent="0.25">
      <c r="A107" s="324">
        <v>100</v>
      </c>
      <c r="B107" s="392" t="s">
        <v>147</v>
      </c>
      <c r="C107" s="393"/>
      <c r="D107" s="41">
        <f>SUM(D104:D106)</f>
        <v>-5.84</v>
      </c>
      <c r="E107" s="41">
        <f>SUM(E104:E106)</f>
        <v>0</v>
      </c>
      <c r="F107" s="41">
        <f>SUM(D107:E107)</f>
        <v>-5.84</v>
      </c>
      <c r="G107" s="38"/>
      <c r="H107" s="39"/>
      <c r="I107" s="41">
        <f>SUM(I104:I106)</f>
        <v>-5.6840000000000002</v>
      </c>
      <c r="J107" s="41">
        <f>SUM(J104:J106)</f>
        <v>3.8</v>
      </c>
      <c r="K107" s="41">
        <f>SUM(I107:J107)</f>
        <v>-1.8840000000000003</v>
      </c>
      <c r="L107" s="38"/>
      <c r="M107" s="38"/>
      <c r="N107" s="41" t="e">
        <f>SUM(N104:N106)</f>
        <v>#REF!</v>
      </c>
      <c r="O107" s="41" t="e">
        <f>SUM(O104:O106)</f>
        <v>#REF!</v>
      </c>
      <c r="P107" s="41" t="e">
        <f>SUM(P104:P106)</f>
        <v>#REF!</v>
      </c>
      <c r="Q107" s="39"/>
      <c r="R107" s="158">
        <f>SUM(R104:R106)</f>
        <v>-7.8719999999999999</v>
      </c>
      <c r="S107" s="158">
        <f>SUM(S104:S106)</f>
        <v>0</v>
      </c>
      <c r="T107" s="158">
        <f>SUM(T104:T106)</f>
        <v>-7.8719999999999999</v>
      </c>
      <c r="U107" s="41"/>
      <c r="V107" s="408">
        <f>SUM(V104:V106)</f>
        <v>-0.54720000000000002</v>
      </c>
      <c r="W107" s="408">
        <f>SUM(W104:W106)</f>
        <v>0</v>
      </c>
      <c r="X107" s="408">
        <f>SUM(X104:X106)</f>
        <v>-0.54720000000000002</v>
      </c>
      <c r="Y107" s="80"/>
      <c r="Z107" s="80">
        <f t="shared" ref="Z107" si="78">SUM(Z104:Z106)</f>
        <v>0</v>
      </c>
      <c r="AA107" s="39"/>
      <c r="AB107" s="249">
        <f>SUM(AB104:AB106)</f>
        <v>-5.8</v>
      </c>
      <c r="AC107" s="249">
        <f>SUM(AC104:AC106)</f>
        <v>2.5</v>
      </c>
      <c r="AD107" s="249">
        <f>SUM(AD104:AD106)</f>
        <v>-3.3000000000000003</v>
      </c>
      <c r="AE107" s="41"/>
      <c r="AF107" s="80"/>
      <c r="AG107" s="194"/>
      <c r="AH107" s="195"/>
      <c r="AI107" s="285">
        <f>SUM(AI104:AI106)</f>
        <v>-2.7670700000000004</v>
      </c>
      <c r="AJ107" s="285">
        <f>SUM(AJ104:AJ106)</f>
        <v>0</v>
      </c>
      <c r="AK107" s="285">
        <f>AI107+AJ107</f>
        <v>-2.7670700000000004</v>
      </c>
      <c r="AL107" s="81"/>
      <c r="AM107" s="81"/>
      <c r="AN107" s="81"/>
      <c r="AO107" s="81"/>
      <c r="AP107" s="418">
        <f>SUM(AP104:AP106)</f>
        <v>-5.8</v>
      </c>
      <c r="AQ107" s="418">
        <f>SUM(AQ104:AQ106)</f>
        <v>2.5</v>
      </c>
      <c r="AR107" s="418">
        <f t="shared" si="53"/>
        <v>-3.3</v>
      </c>
      <c r="AS107" s="226"/>
      <c r="AT107" s="81"/>
      <c r="AU107" s="81"/>
      <c r="AV107" s="81"/>
      <c r="AW107" s="430">
        <f>SUM(AW104:AW106)</f>
        <v>-8.3165800000000001</v>
      </c>
      <c r="AX107" s="430">
        <f>SUM(AX104:AX106)</f>
        <v>0.92778000000000005</v>
      </c>
      <c r="AY107" s="430">
        <f t="shared" si="74"/>
        <v>-7.3887999999999998</v>
      </c>
      <c r="AZ107" s="81"/>
      <c r="BA107" s="81"/>
      <c r="BB107" s="81"/>
      <c r="BC107" s="81"/>
      <c r="BD107" s="227" t="e">
        <f>SUM(BD104:BD106)</f>
        <v>#REF!</v>
      </c>
      <c r="BE107" s="227" t="e">
        <f>SUM(BE104:BE106)</f>
        <v>#REF!</v>
      </c>
      <c r="BF107" s="227" t="e">
        <f t="shared" si="54"/>
        <v>#REF!</v>
      </c>
      <c r="BG107" s="221" t="e">
        <f t="shared" si="77"/>
        <v>#REF!</v>
      </c>
      <c r="BK107" s="436">
        <f>SUM(BK104:BK106)</f>
        <v>-5.8</v>
      </c>
      <c r="BL107" s="436">
        <f>SUM(BL104:BL106)</f>
        <v>2.5</v>
      </c>
      <c r="BM107" s="436">
        <f t="shared" si="75"/>
        <v>-3.3</v>
      </c>
      <c r="BN107" s="226"/>
    </row>
    <row r="108" spans="1:66" ht="15" customHeight="1" outlineLevel="2" x14ac:dyDescent="0.25">
      <c r="A108" s="324">
        <v>101</v>
      </c>
      <c r="B108" s="385" t="s">
        <v>47</v>
      </c>
      <c r="C108" s="386" t="s">
        <v>148</v>
      </c>
      <c r="D108" s="37">
        <v>-14.4</v>
      </c>
      <c r="E108" s="37">
        <v>6</v>
      </c>
      <c r="F108" s="37">
        <f t="shared" ref="F108:F123" si="79">SUM(D108:E108)</f>
        <v>-8.4</v>
      </c>
      <c r="G108" s="38"/>
      <c r="H108" s="39"/>
      <c r="I108" s="37">
        <v>-9.0549999999999997</v>
      </c>
      <c r="J108" s="37">
        <v>0.55500000000000005</v>
      </c>
      <c r="K108" s="37">
        <f t="shared" ref="K108:K115" si="80">SUM(I108:J108)</f>
        <v>-8.5</v>
      </c>
      <c r="L108" s="38"/>
      <c r="M108" s="38"/>
      <c r="N108" s="37" t="e">
        <f>-SUMIF(#REF!,$C108,#REF!)/1000</f>
        <v>#REF!</v>
      </c>
      <c r="O108" s="37" t="e">
        <f>SUMIF(#REF!,$C108,#REF!)/1000</f>
        <v>#REF!</v>
      </c>
      <c r="P108" s="37" t="e">
        <f t="shared" ref="P108:P114" si="81">N108+O108</f>
        <v>#REF!</v>
      </c>
      <c r="Q108" s="39"/>
      <c r="R108" s="157">
        <v>-6</v>
      </c>
      <c r="S108" s="157"/>
      <c r="T108" s="157">
        <f t="shared" ref="T108:T114" si="82">R108+S108</f>
        <v>-6</v>
      </c>
      <c r="U108" s="37"/>
      <c r="V108" s="407">
        <v>-0.98739999999999994</v>
      </c>
      <c r="W108" s="407">
        <v>0.1</v>
      </c>
      <c r="X108" s="407">
        <f>SUM(V108:W108)</f>
        <v>-0.88739999999999997</v>
      </c>
      <c r="Y108" s="46"/>
      <c r="Z108" s="46"/>
      <c r="AA108" s="39"/>
      <c r="AB108" s="248">
        <v>-3.5</v>
      </c>
      <c r="AC108" s="248"/>
      <c r="AD108" s="248">
        <f t="shared" ref="AD108:AD114" si="83">AB108+AC108</f>
        <v>-3.5</v>
      </c>
      <c r="AE108" s="193"/>
      <c r="AF108" s="199"/>
      <c r="AG108" s="194"/>
      <c r="AH108" s="195"/>
      <c r="AI108" s="163">
        <v>-3</v>
      </c>
      <c r="AJ108" s="163">
        <v>0</v>
      </c>
      <c r="AK108" s="163">
        <v>-3</v>
      </c>
      <c r="AL108" s="20"/>
      <c r="AM108" s="20"/>
      <c r="AN108" s="20"/>
      <c r="AO108" s="20"/>
      <c r="AP108" s="339">
        <v>-3.5</v>
      </c>
      <c r="AQ108" s="339"/>
      <c r="AR108" s="339">
        <f t="shared" si="53"/>
        <v>-3.5</v>
      </c>
      <c r="AS108" s="225"/>
      <c r="AT108" s="20"/>
      <c r="AU108" s="20"/>
      <c r="AV108" s="20"/>
      <c r="AW108" s="331">
        <v>0</v>
      </c>
      <c r="AX108" s="331">
        <v>0</v>
      </c>
      <c r="AY108" s="331">
        <f t="shared" si="74"/>
        <v>0</v>
      </c>
      <c r="AZ108" s="20"/>
      <c r="BA108" s="20"/>
      <c r="BB108" s="20"/>
      <c r="BC108" s="20"/>
      <c r="BD108" s="221" t="e">
        <f>-SUMIF(#REF!,'pôles &amp; actions'!$C108,#REF!)/1000</f>
        <v>#REF!</v>
      </c>
      <c r="BE108" s="221" t="e">
        <f>SUMIF(#REF!,'pôles &amp; actions'!$C108,#REF!)/1000</f>
        <v>#REF!</v>
      </c>
      <c r="BF108" s="221" t="e">
        <f t="shared" si="54"/>
        <v>#REF!</v>
      </c>
      <c r="BG108" s="221" t="e">
        <f t="shared" si="77"/>
        <v>#REF!</v>
      </c>
      <c r="BK108" s="345">
        <v>-3.5</v>
      </c>
      <c r="BL108" s="345"/>
      <c r="BM108" s="345">
        <f t="shared" si="75"/>
        <v>-3.5</v>
      </c>
      <c r="BN108" s="225"/>
    </row>
    <row r="109" spans="1:66" ht="15" customHeight="1" outlineLevel="2" x14ac:dyDescent="0.25">
      <c r="A109" s="324">
        <v>102</v>
      </c>
      <c r="B109" s="385" t="s">
        <v>39</v>
      </c>
      <c r="C109" s="386" t="s">
        <v>149</v>
      </c>
      <c r="D109" s="37">
        <v>-0.25</v>
      </c>
      <c r="E109" s="37">
        <v>0</v>
      </c>
      <c r="F109" s="37">
        <f t="shared" si="79"/>
        <v>-0.25</v>
      </c>
      <c r="G109" s="38"/>
      <c r="H109" s="39"/>
      <c r="I109" s="37">
        <v>-0.26</v>
      </c>
      <c r="J109" s="37">
        <v>7.0000000000000007E-2</v>
      </c>
      <c r="K109" s="37">
        <f t="shared" si="80"/>
        <v>-0.19</v>
      </c>
      <c r="L109" s="38"/>
      <c r="M109" s="38"/>
      <c r="N109" s="37" t="e">
        <f>-SUMIF(#REF!,$C109,#REF!)/1000</f>
        <v>#REF!</v>
      </c>
      <c r="O109" s="37" t="e">
        <f>SUMIF(#REF!,$C109,#REF!)/1000</f>
        <v>#REF!</v>
      </c>
      <c r="P109" s="37" t="e">
        <f t="shared" si="81"/>
        <v>#REF!</v>
      </c>
      <c r="Q109" s="39"/>
      <c r="R109" s="157"/>
      <c r="S109" s="157"/>
      <c r="T109" s="157">
        <f t="shared" si="82"/>
        <v>0</v>
      </c>
      <c r="U109" s="37"/>
      <c r="V109" s="407">
        <v>0</v>
      </c>
      <c r="W109" s="407">
        <v>0</v>
      </c>
      <c r="X109" s="407">
        <f t="shared" ref="X109:X114" si="84">SUM(V109:W109)</f>
        <v>0</v>
      </c>
      <c r="Y109" s="46"/>
      <c r="Z109" s="46"/>
      <c r="AA109" s="39"/>
      <c r="AB109" s="248"/>
      <c r="AC109" s="248"/>
      <c r="AD109" s="248">
        <f t="shared" si="83"/>
        <v>0</v>
      </c>
      <c r="AE109" s="193"/>
      <c r="AF109" s="199"/>
      <c r="AG109" s="194"/>
      <c r="AH109" s="195"/>
      <c r="AI109" s="163">
        <v>0</v>
      </c>
      <c r="AJ109" s="163">
        <v>0</v>
      </c>
      <c r="AK109" s="163">
        <v>0</v>
      </c>
      <c r="AL109" s="20"/>
      <c r="AM109" s="20"/>
      <c r="AN109" s="20"/>
      <c r="AO109" s="20"/>
      <c r="AP109" s="339"/>
      <c r="AQ109" s="339"/>
      <c r="AR109" s="339">
        <f t="shared" si="53"/>
        <v>0</v>
      </c>
      <c r="AS109" s="225"/>
      <c r="AT109" s="20"/>
      <c r="AU109" s="20"/>
      <c r="AV109" s="20"/>
      <c r="AW109" s="331">
        <v>0</v>
      </c>
      <c r="AX109" s="331">
        <v>0.14806999999999998</v>
      </c>
      <c r="AY109" s="331">
        <f t="shared" si="74"/>
        <v>0.14806999999999998</v>
      </c>
      <c r="AZ109" s="20"/>
      <c r="BA109" s="20"/>
      <c r="BB109" s="20"/>
      <c r="BC109" s="20"/>
      <c r="BD109" s="221" t="e">
        <f>-SUMIF(#REF!,'pôles &amp; actions'!$C109,#REF!)/1000</f>
        <v>#REF!</v>
      </c>
      <c r="BE109" s="221" t="e">
        <f>SUMIF(#REF!,'pôles &amp; actions'!$C109,#REF!)/1000</f>
        <v>#REF!</v>
      </c>
      <c r="BF109" s="221" t="e">
        <f t="shared" si="54"/>
        <v>#REF!</v>
      </c>
      <c r="BG109" s="221" t="e">
        <f t="shared" si="77"/>
        <v>#REF!</v>
      </c>
      <c r="BK109" s="345"/>
      <c r="BL109" s="345"/>
      <c r="BM109" s="345">
        <f t="shared" si="75"/>
        <v>0</v>
      </c>
      <c r="BN109" s="225"/>
    </row>
    <row r="110" spans="1:66" ht="15" customHeight="1" outlineLevel="3" x14ac:dyDescent="0.25">
      <c r="A110" s="324">
        <v>103</v>
      </c>
      <c r="B110" s="385" t="s">
        <v>150</v>
      </c>
      <c r="C110" s="386" t="s">
        <v>151</v>
      </c>
      <c r="D110" s="37">
        <v>-2.25</v>
      </c>
      <c r="E110" s="37">
        <v>0</v>
      </c>
      <c r="F110" s="37">
        <f t="shared" si="79"/>
        <v>-2.25</v>
      </c>
      <c r="G110" s="38"/>
      <c r="H110" s="39"/>
      <c r="I110" s="37">
        <v>0</v>
      </c>
      <c r="J110" s="37">
        <v>0</v>
      </c>
      <c r="K110" s="37">
        <f t="shared" si="80"/>
        <v>0</v>
      </c>
      <c r="L110" s="38"/>
      <c r="M110" s="38"/>
      <c r="N110" s="37" t="e">
        <f>-SUMIF(#REF!,$C110,#REF!)/1000</f>
        <v>#REF!</v>
      </c>
      <c r="O110" s="37" t="e">
        <f>SUMIF(#REF!,$C110,#REF!)/1000</f>
        <v>#REF!</v>
      </c>
      <c r="P110" s="37" t="e">
        <f t="shared" si="81"/>
        <v>#REF!</v>
      </c>
      <c r="Q110" s="39"/>
      <c r="R110" s="157"/>
      <c r="S110" s="157"/>
      <c r="T110" s="157">
        <f t="shared" si="82"/>
        <v>0</v>
      </c>
      <c r="U110" s="37"/>
      <c r="V110" s="407">
        <v>0</v>
      </c>
      <c r="W110" s="407">
        <v>0</v>
      </c>
      <c r="X110" s="407">
        <f t="shared" si="84"/>
        <v>0</v>
      </c>
      <c r="Y110" s="46"/>
      <c r="Z110" s="46"/>
      <c r="AA110" s="39"/>
      <c r="AB110" s="248"/>
      <c r="AC110" s="248"/>
      <c r="AD110" s="248">
        <f t="shared" si="83"/>
        <v>0</v>
      </c>
      <c r="AE110" s="193"/>
      <c r="AF110" s="199"/>
      <c r="AG110" s="194"/>
      <c r="AH110" s="195"/>
      <c r="AI110" s="163">
        <v>0</v>
      </c>
      <c r="AJ110" s="163">
        <v>0</v>
      </c>
      <c r="AK110" s="163">
        <v>0</v>
      </c>
      <c r="AL110" s="20"/>
      <c r="AM110" s="20"/>
      <c r="AN110" s="20"/>
      <c r="AO110" s="20"/>
      <c r="AP110" s="339"/>
      <c r="AQ110" s="339"/>
      <c r="AR110" s="339">
        <f t="shared" si="53"/>
        <v>0</v>
      </c>
      <c r="AS110" s="225"/>
      <c r="AT110" s="20"/>
      <c r="AU110" s="20"/>
      <c r="AV110" s="20"/>
      <c r="AW110" s="331">
        <v>0</v>
      </c>
      <c r="AX110" s="331">
        <v>0</v>
      </c>
      <c r="AY110" s="331">
        <f t="shared" si="74"/>
        <v>0</v>
      </c>
      <c r="AZ110" s="20"/>
      <c r="BA110" s="20"/>
      <c r="BB110" s="20"/>
      <c r="BC110" s="20"/>
      <c r="BD110" s="221" t="e">
        <f>-SUMIF(#REF!,'pôles &amp; actions'!$C110,#REF!)/1000</f>
        <v>#REF!</v>
      </c>
      <c r="BE110" s="221" t="e">
        <f>SUMIF(#REF!,'pôles &amp; actions'!$C110,#REF!)/1000</f>
        <v>#REF!</v>
      </c>
      <c r="BF110" s="221" t="e">
        <f t="shared" si="54"/>
        <v>#REF!</v>
      </c>
      <c r="BG110" s="221" t="e">
        <f t="shared" si="77"/>
        <v>#REF!</v>
      </c>
      <c r="BK110" s="345"/>
      <c r="BL110" s="345"/>
      <c r="BM110" s="345">
        <f t="shared" si="75"/>
        <v>0</v>
      </c>
      <c r="BN110" s="225"/>
    </row>
    <row r="111" spans="1:66" ht="15" customHeight="1" outlineLevel="2" x14ac:dyDescent="0.25">
      <c r="A111" s="324">
        <v>104</v>
      </c>
      <c r="B111" s="385" t="s">
        <v>75</v>
      </c>
      <c r="C111" s="386" t="s">
        <v>152</v>
      </c>
      <c r="D111" s="37">
        <v>0</v>
      </c>
      <c r="E111" s="37">
        <v>5</v>
      </c>
      <c r="F111" s="37">
        <f t="shared" si="79"/>
        <v>5</v>
      </c>
      <c r="G111" s="38"/>
      <c r="H111" s="39"/>
      <c r="I111" s="37">
        <v>-1.65</v>
      </c>
      <c r="J111" s="37">
        <v>2.4580000000000002</v>
      </c>
      <c r="K111" s="37">
        <f t="shared" si="80"/>
        <v>0.80800000000000027</v>
      </c>
      <c r="L111" s="38"/>
      <c r="M111" s="38"/>
      <c r="N111" s="37" t="e">
        <f>-SUMIF(#REF!,$C111,#REF!)/1000</f>
        <v>#REF!</v>
      </c>
      <c r="O111" s="37" t="e">
        <f>SUMIF(#REF!,$C111,#REF!)/1000</f>
        <v>#REF!</v>
      </c>
      <c r="P111" s="37" t="e">
        <f t="shared" si="81"/>
        <v>#REF!</v>
      </c>
      <c r="Q111" s="39"/>
      <c r="R111" s="157"/>
      <c r="S111" s="157"/>
      <c r="T111" s="157">
        <f t="shared" si="82"/>
        <v>0</v>
      </c>
      <c r="U111" s="37"/>
      <c r="V111" s="407">
        <v>-2.8171200000000001</v>
      </c>
      <c r="W111" s="407">
        <v>2.5099999999999998</v>
      </c>
      <c r="X111" s="407">
        <f t="shared" si="84"/>
        <v>-0.30712000000000028</v>
      </c>
      <c r="Y111" s="46"/>
      <c r="Z111" s="46"/>
      <c r="AA111" s="39"/>
      <c r="AB111" s="248"/>
      <c r="AC111" s="248"/>
      <c r="AD111" s="248">
        <f t="shared" si="83"/>
        <v>0</v>
      </c>
      <c r="AE111" s="193"/>
      <c r="AF111" s="199"/>
      <c r="AG111" s="194"/>
      <c r="AH111" s="195"/>
      <c r="AI111" s="163">
        <v>-1.23</v>
      </c>
      <c r="AJ111" s="163">
        <v>0.30399999999999999</v>
      </c>
      <c r="AK111" s="163">
        <v>-0.92599999999999993</v>
      </c>
      <c r="AL111" s="20"/>
      <c r="AM111" s="20"/>
      <c r="AN111" s="20"/>
      <c r="AO111" s="20"/>
      <c r="AP111" s="339"/>
      <c r="AQ111" s="339"/>
      <c r="AR111" s="339">
        <f t="shared" si="53"/>
        <v>0</v>
      </c>
      <c r="AS111" s="225"/>
      <c r="AT111" s="20"/>
      <c r="AU111" s="20"/>
      <c r="AV111" s="20"/>
      <c r="AW111" s="331">
        <v>-3.5895600000000001</v>
      </c>
      <c r="AX111" s="331">
        <v>4.7409999999999997</v>
      </c>
      <c r="AY111" s="331">
        <f t="shared" si="74"/>
        <v>1.1514399999999996</v>
      </c>
      <c r="AZ111" s="20"/>
      <c r="BA111" s="20"/>
      <c r="BB111" s="20"/>
      <c r="BC111" s="20"/>
      <c r="BD111" s="221" t="e">
        <f>-SUMIF(#REF!,'pôles &amp; actions'!$C111,#REF!)/1000</f>
        <v>#REF!</v>
      </c>
      <c r="BE111" s="221" t="e">
        <f>SUMIF(#REF!,'pôles &amp; actions'!$C111,#REF!)/1000</f>
        <v>#REF!</v>
      </c>
      <c r="BF111" s="221" t="e">
        <f t="shared" si="54"/>
        <v>#REF!</v>
      </c>
      <c r="BG111" s="221" t="e">
        <f t="shared" si="77"/>
        <v>#REF!</v>
      </c>
      <c r="BK111" s="345"/>
      <c r="BL111" s="345"/>
      <c r="BM111" s="345">
        <f t="shared" si="75"/>
        <v>0</v>
      </c>
      <c r="BN111" s="225"/>
    </row>
    <row r="112" spans="1:66" ht="15" customHeight="1" outlineLevel="2" x14ac:dyDescent="0.25">
      <c r="A112" s="324">
        <v>105</v>
      </c>
      <c r="B112" s="385" t="s">
        <v>77</v>
      </c>
      <c r="C112" s="386" t="s">
        <v>153</v>
      </c>
      <c r="D112" s="37"/>
      <c r="E112" s="37"/>
      <c r="F112" s="37"/>
      <c r="G112" s="38"/>
      <c r="H112" s="39"/>
      <c r="I112" s="37">
        <v>-1.544</v>
      </c>
      <c r="J112" s="37">
        <v>1.4695</v>
      </c>
      <c r="K112" s="37">
        <f t="shared" si="80"/>
        <v>-7.4500000000000011E-2</v>
      </c>
      <c r="L112" s="38"/>
      <c r="M112" s="38"/>
      <c r="N112" s="37" t="e">
        <f>-SUMIF(#REF!,$C112,#REF!)/1000</f>
        <v>#REF!</v>
      </c>
      <c r="O112" s="37" t="e">
        <f>SUMIF(#REF!,$C112,#REF!)/1000</f>
        <v>#REF!</v>
      </c>
      <c r="P112" s="37" t="e">
        <f t="shared" si="81"/>
        <v>#REF!</v>
      </c>
      <c r="Q112" s="39"/>
      <c r="R112" s="157"/>
      <c r="S112" s="157"/>
      <c r="T112" s="157">
        <f t="shared" si="82"/>
        <v>0</v>
      </c>
      <c r="U112" s="37"/>
      <c r="V112" s="407">
        <v>0</v>
      </c>
      <c r="W112" s="407">
        <v>0</v>
      </c>
      <c r="X112" s="407">
        <f t="shared" si="84"/>
        <v>0</v>
      </c>
      <c r="Y112" s="46"/>
      <c r="Z112" s="46"/>
      <c r="AA112" s="39"/>
      <c r="AB112" s="248"/>
      <c r="AC112" s="248"/>
      <c r="AD112" s="248">
        <f t="shared" si="83"/>
        <v>0</v>
      </c>
      <c r="AE112" s="193"/>
      <c r="AF112" s="199"/>
      <c r="AG112" s="194"/>
      <c r="AH112" s="195"/>
      <c r="AI112" s="163">
        <v>0</v>
      </c>
      <c r="AJ112" s="163">
        <v>0</v>
      </c>
      <c r="AK112" s="163">
        <v>0</v>
      </c>
      <c r="AL112" s="20"/>
      <c r="AM112" s="20"/>
      <c r="AN112" s="20"/>
      <c r="AO112" s="20"/>
      <c r="AP112" s="339"/>
      <c r="AQ112" s="339"/>
      <c r="AR112" s="339">
        <f t="shared" si="53"/>
        <v>0</v>
      </c>
      <c r="AS112" s="225"/>
      <c r="AT112" s="20"/>
      <c r="AU112" s="20"/>
      <c r="AV112" s="20"/>
      <c r="AW112" s="331">
        <v>0</v>
      </c>
      <c r="AX112" s="331">
        <v>0</v>
      </c>
      <c r="AY112" s="331">
        <f t="shared" si="74"/>
        <v>0</v>
      </c>
      <c r="AZ112" s="20"/>
      <c r="BA112" s="20"/>
      <c r="BB112" s="20"/>
      <c r="BC112" s="20"/>
      <c r="BD112" s="221" t="e">
        <f>-SUMIF(#REF!,'pôles &amp; actions'!$C112,#REF!)/1000</f>
        <v>#REF!</v>
      </c>
      <c r="BE112" s="221" t="e">
        <f>SUMIF(#REF!,'pôles &amp; actions'!$C112,#REF!)/1000</f>
        <v>#REF!</v>
      </c>
      <c r="BF112" s="221" t="e">
        <f t="shared" si="54"/>
        <v>#REF!</v>
      </c>
      <c r="BG112" s="221" t="e">
        <f t="shared" si="77"/>
        <v>#REF!</v>
      </c>
      <c r="BK112" s="345"/>
      <c r="BL112" s="345"/>
      <c r="BM112" s="345">
        <f t="shared" si="75"/>
        <v>0</v>
      </c>
      <c r="BN112" s="225"/>
    </row>
    <row r="113" spans="1:66" ht="15" customHeight="1" outlineLevel="3" x14ac:dyDescent="0.25">
      <c r="A113" s="324">
        <v>106</v>
      </c>
      <c r="B113" s="385" t="s">
        <v>154</v>
      </c>
      <c r="C113" s="386" t="s">
        <v>155</v>
      </c>
      <c r="D113" s="37">
        <v>0</v>
      </c>
      <c r="E113" s="37">
        <v>3</v>
      </c>
      <c r="F113" s="37">
        <f t="shared" si="79"/>
        <v>3</v>
      </c>
      <c r="G113" s="38"/>
      <c r="H113" s="39"/>
      <c r="I113" s="37">
        <v>0</v>
      </c>
      <c r="J113" s="37">
        <v>0</v>
      </c>
      <c r="K113" s="37">
        <f t="shared" si="80"/>
        <v>0</v>
      </c>
      <c r="L113" s="38"/>
      <c r="M113" s="38"/>
      <c r="N113" s="37" t="e">
        <f>-SUMIF(#REF!,$C113,#REF!)/1000</f>
        <v>#REF!</v>
      </c>
      <c r="O113" s="37" t="e">
        <f>SUMIF(#REF!,$C113,#REF!)/1000</f>
        <v>#REF!</v>
      </c>
      <c r="P113" s="37" t="e">
        <f t="shared" si="81"/>
        <v>#REF!</v>
      </c>
      <c r="Q113" s="39"/>
      <c r="R113" s="157"/>
      <c r="S113" s="157"/>
      <c r="T113" s="157">
        <f t="shared" si="82"/>
        <v>0</v>
      </c>
      <c r="U113" s="37"/>
      <c r="V113" s="407">
        <v>0</v>
      </c>
      <c r="W113" s="407">
        <v>0</v>
      </c>
      <c r="X113" s="407">
        <f t="shared" si="84"/>
        <v>0</v>
      </c>
      <c r="Y113" s="46"/>
      <c r="Z113" s="46"/>
      <c r="AA113" s="39"/>
      <c r="AB113" s="248"/>
      <c r="AC113" s="248"/>
      <c r="AD113" s="248">
        <f t="shared" si="83"/>
        <v>0</v>
      </c>
      <c r="AE113" s="193"/>
      <c r="AF113" s="199"/>
      <c r="AG113" s="194"/>
      <c r="AH113" s="195"/>
      <c r="AI113" s="163">
        <v>0</v>
      </c>
      <c r="AJ113" s="163">
        <v>0</v>
      </c>
      <c r="AK113" s="163">
        <v>0</v>
      </c>
      <c r="AL113" s="20"/>
      <c r="AM113" s="20"/>
      <c r="AN113" s="20"/>
      <c r="AO113" s="20"/>
      <c r="AP113" s="339"/>
      <c r="AQ113" s="339"/>
      <c r="AR113" s="339">
        <f t="shared" si="53"/>
        <v>0</v>
      </c>
      <c r="AS113" s="225"/>
      <c r="AT113" s="20"/>
      <c r="AU113" s="20"/>
      <c r="AV113" s="20"/>
      <c r="AW113" s="331">
        <v>0</v>
      </c>
      <c r="AX113" s="331">
        <v>0</v>
      </c>
      <c r="AY113" s="331">
        <f t="shared" si="74"/>
        <v>0</v>
      </c>
      <c r="AZ113" s="20"/>
      <c r="BA113" s="20"/>
      <c r="BB113" s="20"/>
      <c r="BC113" s="20"/>
      <c r="BD113" s="221" t="e">
        <f>-SUMIF(#REF!,'pôles &amp; actions'!$C113,#REF!)/1000</f>
        <v>#REF!</v>
      </c>
      <c r="BE113" s="221" t="e">
        <f>SUMIF(#REF!,'pôles &amp; actions'!$C113,#REF!)/1000</f>
        <v>#REF!</v>
      </c>
      <c r="BF113" s="221" t="e">
        <f t="shared" si="54"/>
        <v>#REF!</v>
      </c>
      <c r="BG113" s="221" t="e">
        <f t="shared" si="77"/>
        <v>#REF!</v>
      </c>
      <c r="BK113" s="345"/>
      <c r="BL113" s="345"/>
      <c r="BM113" s="345">
        <f t="shared" si="75"/>
        <v>0</v>
      </c>
      <c r="BN113" s="225"/>
    </row>
    <row r="114" spans="1:66" ht="15" customHeight="1" outlineLevel="2" x14ac:dyDescent="0.25">
      <c r="A114" s="324">
        <v>107</v>
      </c>
      <c r="B114" s="385" t="s">
        <v>45</v>
      </c>
      <c r="C114" s="386" t="s">
        <v>156</v>
      </c>
      <c r="D114" s="37"/>
      <c r="E114" s="37"/>
      <c r="F114" s="37"/>
      <c r="G114" s="38"/>
      <c r="H114" s="39"/>
      <c r="I114" s="37">
        <v>-0.77400000000000002</v>
      </c>
      <c r="J114" s="37">
        <v>0</v>
      </c>
      <c r="K114" s="37">
        <f t="shared" si="80"/>
        <v>-0.77400000000000002</v>
      </c>
      <c r="L114" s="38"/>
      <c r="M114" s="38"/>
      <c r="N114" s="37" t="e">
        <f>-SUMIF(#REF!,$C114,#REF!)/1000</f>
        <v>#REF!</v>
      </c>
      <c r="O114" s="37" t="e">
        <f>SUMIF(#REF!,$C114,#REF!)/1000</f>
        <v>#REF!</v>
      </c>
      <c r="P114" s="37" t="e">
        <f t="shared" si="81"/>
        <v>#REF!</v>
      </c>
      <c r="Q114" s="39"/>
      <c r="R114" s="157"/>
      <c r="S114" s="157"/>
      <c r="T114" s="157">
        <f t="shared" si="82"/>
        <v>0</v>
      </c>
      <c r="U114" s="37"/>
      <c r="V114" s="407">
        <v>-0.58933000000000002</v>
      </c>
      <c r="W114" s="407">
        <v>0</v>
      </c>
      <c r="X114" s="407">
        <f t="shared" si="84"/>
        <v>-0.58933000000000002</v>
      </c>
      <c r="Y114" s="46"/>
      <c r="Z114" s="46"/>
      <c r="AA114" s="39"/>
      <c r="AB114" s="248"/>
      <c r="AC114" s="248"/>
      <c r="AD114" s="248">
        <f t="shared" si="83"/>
        <v>0</v>
      </c>
      <c r="AE114" s="193"/>
      <c r="AF114" s="199"/>
      <c r="AG114" s="194"/>
      <c r="AH114" s="195"/>
      <c r="AI114" s="163">
        <v>-0.48</v>
      </c>
      <c r="AJ114" s="163">
        <v>0</v>
      </c>
      <c r="AK114" s="163">
        <v>-0.48</v>
      </c>
      <c r="AL114" s="20"/>
      <c r="AM114" s="20"/>
      <c r="AN114" s="20"/>
      <c r="AO114" s="20"/>
      <c r="AP114" s="339"/>
      <c r="AQ114" s="339"/>
      <c r="AR114" s="339">
        <f t="shared" si="53"/>
        <v>0</v>
      </c>
      <c r="AS114" s="225"/>
      <c r="AT114" s="20"/>
      <c r="AU114" s="20"/>
      <c r="AV114" s="20"/>
      <c r="AW114" s="331">
        <v>-0.48</v>
      </c>
      <c r="AX114" s="331">
        <v>0</v>
      </c>
      <c r="AY114" s="331">
        <f t="shared" si="74"/>
        <v>-0.48</v>
      </c>
      <c r="AZ114" s="20"/>
      <c r="BA114" s="20"/>
      <c r="BB114" s="20"/>
      <c r="BC114" s="20"/>
      <c r="BD114" s="221" t="e">
        <f>-SUMIF(#REF!,'pôles &amp; actions'!$C114,#REF!)/1000</f>
        <v>#REF!</v>
      </c>
      <c r="BE114" s="221" t="e">
        <f>SUMIF(#REF!,'pôles &amp; actions'!$C114,#REF!)/1000</f>
        <v>#REF!</v>
      </c>
      <c r="BF114" s="221" t="e">
        <f t="shared" si="54"/>
        <v>#REF!</v>
      </c>
      <c r="BG114" s="221" t="e">
        <f t="shared" si="77"/>
        <v>#REF!</v>
      </c>
      <c r="BK114" s="345"/>
      <c r="BL114" s="345"/>
      <c r="BM114" s="345">
        <f t="shared" si="75"/>
        <v>0</v>
      </c>
      <c r="BN114" s="225"/>
    </row>
    <row r="115" spans="1:66" ht="15" customHeight="1" outlineLevel="1" x14ac:dyDescent="0.25">
      <c r="A115" s="324">
        <v>108</v>
      </c>
      <c r="B115" s="392" t="s">
        <v>157</v>
      </c>
      <c r="C115" s="393"/>
      <c r="D115" s="41">
        <f>SUM(D108:D113)</f>
        <v>-16.899999999999999</v>
      </c>
      <c r="E115" s="41">
        <f>SUM(E108:E113)</f>
        <v>14</v>
      </c>
      <c r="F115" s="41">
        <f t="shared" si="79"/>
        <v>-2.8999999999999986</v>
      </c>
      <c r="G115" s="38"/>
      <c r="H115" s="39"/>
      <c r="I115" s="41">
        <f>SUM(I108:I114)</f>
        <v>-13.283000000000001</v>
      </c>
      <c r="J115" s="41">
        <f>SUM(J108:J114)</f>
        <v>4.5525000000000002</v>
      </c>
      <c r="K115" s="41">
        <f t="shared" si="80"/>
        <v>-8.730500000000001</v>
      </c>
      <c r="L115" s="38"/>
      <c r="M115" s="38"/>
      <c r="N115" s="41" t="e">
        <f>SUM(N108:N114)</f>
        <v>#REF!</v>
      </c>
      <c r="O115" s="41" t="e">
        <f>SUM(O108:O114)</f>
        <v>#REF!</v>
      </c>
      <c r="P115" s="41" t="e">
        <f>SUM(P108:P114)</f>
        <v>#REF!</v>
      </c>
      <c r="Q115" s="39"/>
      <c r="R115" s="158">
        <f>SUM(R108:R114)</f>
        <v>-6</v>
      </c>
      <c r="S115" s="158">
        <f>SUM(S108:S114)</f>
        <v>0</v>
      </c>
      <c r="T115" s="158">
        <f>SUM(T108:T114)</f>
        <v>-6</v>
      </c>
      <c r="U115" s="41"/>
      <c r="V115" s="408">
        <f>SUM(V108:V114)</f>
        <v>-4.3938500000000005</v>
      </c>
      <c r="W115" s="408">
        <f>SUM(W108:W114)</f>
        <v>2.61</v>
      </c>
      <c r="X115" s="408">
        <f>SUM(X108:X114)</f>
        <v>-1.7838500000000002</v>
      </c>
      <c r="Y115" s="80"/>
      <c r="Z115" s="80">
        <f t="shared" ref="Z115" si="85">SUM(Z108:Z114)</f>
        <v>0</v>
      </c>
      <c r="AA115" s="39"/>
      <c r="AB115" s="249">
        <f>SUM(AB108:AB114)</f>
        <v>-3.5</v>
      </c>
      <c r="AC115" s="249">
        <f>SUM(AC108:AC114)</f>
        <v>0</v>
      </c>
      <c r="AD115" s="249">
        <f>SUM(AD108:AD114)</f>
        <v>-3.5</v>
      </c>
      <c r="AE115" s="41"/>
      <c r="AF115" s="80"/>
      <c r="AG115" s="194"/>
      <c r="AH115" s="195"/>
      <c r="AI115" s="285">
        <f>SUM(AI108:AI114)</f>
        <v>-4.7100000000000009</v>
      </c>
      <c r="AJ115" s="285">
        <f>SUM(AJ108:AJ114)</f>
        <v>0.30399999999999999</v>
      </c>
      <c r="AK115" s="285">
        <f>AI115+AJ115</f>
        <v>-4.4060000000000006</v>
      </c>
      <c r="AL115" s="81"/>
      <c r="AM115" s="81"/>
      <c r="AN115" s="81"/>
      <c r="AO115" s="81"/>
      <c r="AP115" s="340">
        <f>SUM(AP108:AP114)</f>
        <v>-3.5</v>
      </c>
      <c r="AQ115" s="340">
        <f>SUM(AQ108:AQ114)</f>
        <v>0</v>
      </c>
      <c r="AR115" s="340">
        <f t="shared" si="53"/>
        <v>-3.5</v>
      </c>
      <c r="AS115" s="226"/>
      <c r="AT115" s="81"/>
      <c r="AU115" s="81"/>
      <c r="AV115" s="81"/>
      <c r="AW115" s="430">
        <f>SUM(AW108:AW114)</f>
        <v>-4.0695600000000001</v>
      </c>
      <c r="AX115" s="430">
        <f>SUM(AX108:AX114)</f>
        <v>4.8890699999999994</v>
      </c>
      <c r="AY115" s="430">
        <f t="shared" si="74"/>
        <v>0.81950999999999929</v>
      </c>
      <c r="AZ115" s="81"/>
      <c r="BA115" s="81"/>
      <c r="BB115" s="81"/>
      <c r="BC115" s="81"/>
      <c r="BD115" s="227" t="e">
        <f>SUM(BD108:BD114)</f>
        <v>#REF!</v>
      </c>
      <c r="BE115" s="227" t="e">
        <f>SUM(BE108:BE114)</f>
        <v>#REF!</v>
      </c>
      <c r="BF115" s="227" t="e">
        <f t="shared" si="54"/>
        <v>#REF!</v>
      </c>
      <c r="BG115" s="221" t="e">
        <f t="shared" si="77"/>
        <v>#REF!</v>
      </c>
      <c r="BK115" s="346">
        <f>SUM(BK108:BK114)</f>
        <v>-3.5</v>
      </c>
      <c r="BL115" s="346">
        <f>SUM(BL108:BL114)</f>
        <v>0</v>
      </c>
      <c r="BM115" s="346">
        <f t="shared" si="75"/>
        <v>-3.5</v>
      </c>
      <c r="BN115" s="226"/>
    </row>
    <row r="116" spans="1:66" ht="15" customHeight="1" outlineLevel="2" x14ac:dyDescent="0.25">
      <c r="A116" s="324">
        <v>109</v>
      </c>
      <c r="B116" s="385" t="s">
        <v>47</v>
      </c>
      <c r="C116" s="386" t="s">
        <v>158</v>
      </c>
      <c r="D116" s="37">
        <v>-0.8</v>
      </c>
      <c r="E116" s="37">
        <v>0</v>
      </c>
      <c r="F116" s="37">
        <f t="shared" si="79"/>
        <v>-0.8</v>
      </c>
      <c r="G116" s="38"/>
      <c r="H116" s="39"/>
      <c r="I116" s="37">
        <v>-0.40200000000000002</v>
      </c>
      <c r="J116" s="37">
        <v>0</v>
      </c>
      <c r="K116" s="37">
        <f>SUM(I116:J116)</f>
        <v>-0.40200000000000002</v>
      </c>
      <c r="L116" s="38"/>
      <c r="M116" s="38"/>
      <c r="N116" s="37" t="e">
        <f>-SUMIF(#REF!,$C116,#REF!)/1000</f>
        <v>#REF!</v>
      </c>
      <c r="O116" s="37" t="e">
        <f>SUMIF(#REF!,$C116,#REF!)/1000</f>
        <v>#REF!</v>
      </c>
      <c r="P116" s="37" t="e">
        <f t="shared" ref="P116:P127" si="86">N116+O116</f>
        <v>#REF!</v>
      </c>
      <c r="Q116" s="39"/>
      <c r="R116" s="157">
        <v>-0.8</v>
      </c>
      <c r="S116" s="157">
        <v>0</v>
      </c>
      <c r="T116" s="157">
        <f t="shared" ref="T116:T127" si="87">R116+S116</f>
        <v>-0.8</v>
      </c>
      <c r="U116" s="37"/>
      <c r="V116" s="407">
        <v>0</v>
      </c>
      <c r="W116" s="407">
        <v>0</v>
      </c>
      <c r="X116" s="407">
        <f>SUM(V116:W116)</f>
        <v>0</v>
      </c>
      <c r="Y116" s="46"/>
      <c r="Z116" s="46"/>
      <c r="AA116" s="39"/>
      <c r="AB116" s="248">
        <v>-0.6</v>
      </c>
      <c r="AC116" s="248"/>
      <c r="AD116" s="248">
        <f t="shared" ref="AD116:AD127" si="88">AB116+AC116</f>
        <v>-0.6</v>
      </c>
      <c r="AE116" s="193"/>
      <c r="AF116" s="199"/>
      <c r="AG116" s="194"/>
      <c r="AH116" s="195"/>
      <c r="AI116" s="163">
        <v>0</v>
      </c>
      <c r="AJ116" s="163">
        <v>0</v>
      </c>
      <c r="AK116" s="163">
        <v>0</v>
      </c>
      <c r="AL116" s="20"/>
      <c r="AM116" s="20"/>
      <c r="AN116" s="20"/>
      <c r="AO116" s="20"/>
      <c r="AP116" s="427">
        <v>-0.6</v>
      </c>
      <c r="AQ116" s="427"/>
      <c r="AR116" s="339">
        <f t="shared" si="53"/>
        <v>-0.6</v>
      </c>
      <c r="AS116" s="225"/>
      <c r="AT116" s="20"/>
      <c r="AU116" s="20" t="s">
        <v>511</v>
      </c>
      <c r="AV116" s="20"/>
      <c r="AW116" s="331">
        <v>-0.29187999999999997</v>
      </c>
      <c r="AX116" s="331">
        <v>0.29187999999999997</v>
      </c>
      <c r="AY116" s="331">
        <v>0</v>
      </c>
      <c r="AZ116" s="20"/>
      <c r="BA116" s="20"/>
      <c r="BB116" s="20"/>
      <c r="BC116" s="20"/>
      <c r="BD116" s="221" t="e">
        <f>-SUMIF(#REF!,'pôles &amp; actions'!$C116,#REF!)/1000</f>
        <v>#REF!</v>
      </c>
      <c r="BE116" s="221" t="e">
        <f>SUMIF(#REF!,'pôles &amp; actions'!$C116,#REF!)/1000</f>
        <v>#REF!</v>
      </c>
      <c r="BF116" s="221" t="e">
        <f t="shared" si="54"/>
        <v>#REF!</v>
      </c>
      <c r="BG116" s="221" t="e">
        <f t="shared" si="77"/>
        <v>#REF!</v>
      </c>
      <c r="BK116" s="446"/>
      <c r="BL116" s="446"/>
      <c r="BM116" s="345">
        <f t="shared" si="75"/>
        <v>0</v>
      </c>
      <c r="BN116" s="225"/>
    </row>
    <row r="117" spans="1:66" ht="15" customHeight="1" outlineLevel="2" x14ac:dyDescent="0.25">
      <c r="A117" s="324">
        <v>110</v>
      </c>
      <c r="B117" s="385" t="s">
        <v>43</v>
      </c>
      <c r="C117" s="386" t="s">
        <v>159</v>
      </c>
      <c r="D117" s="37">
        <v>-2</v>
      </c>
      <c r="E117" s="37">
        <v>0</v>
      </c>
      <c r="F117" s="37">
        <f t="shared" si="79"/>
        <v>-2</v>
      </c>
      <c r="G117" s="38"/>
      <c r="H117" s="39"/>
      <c r="I117" s="37">
        <v>-2.9140000000000001</v>
      </c>
      <c r="J117" s="37">
        <v>0.251</v>
      </c>
      <c r="K117" s="37">
        <f>SUM(I117:J117)</f>
        <v>-2.6630000000000003</v>
      </c>
      <c r="L117" s="38"/>
      <c r="M117" s="38"/>
      <c r="N117" s="37" t="e">
        <f>-SUMIF(#REF!,$C117,#REF!)/1000</f>
        <v>#REF!</v>
      </c>
      <c r="O117" s="37" t="e">
        <f>SUMIF(#REF!,$C117,#REF!)/1000</f>
        <v>#REF!</v>
      </c>
      <c r="P117" s="37" t="e">
        <f t="shared" si="86"/>
        <v>#REF!</v>
      </c>
      <c r="Q117" s="39"/>
      <c r="R117" s="157">
        <v>-4.0999999999999996</v>
      </c>
      <c r="S117" s="157">
        <v>0</v>
      </c>
      <c r="T117" s="157">
        <f t="shared" si="87"/>
        <v>-4.0999999999999996</v>
      </c>
      <c r="U117" s="37"/>
      <c r="V117" s="407">
        <v>-2.7414000000000001</v>
      </c>
      <c r="W117" s="407">
        <v>1.27356</v>
      </c>
      <c r="X117" s="407">
        <f t="shared" ref="X117:X127" si="89">SUM(V117:W117)</f>
        <v>-1.46784</v>
      </c>
      <c r="Y117" s="46"/>
      <c r="Z117" s="46"/>
      <c r="AA117" s="39"/>
      <c r="AB117" s="248">
        <v>-2</v>
      </c>
      <c r="AC117" s="248"/>
      <c r="AD117" s="248">
        <f t="shared" si="88"/>
        <v>-2</v>
      </c>
      <c r="AE117" s="193"/>
      <c r="AF117" s="199"/>
      <c r="AG117" s="194"/>
      <c r="AH117" s="195"/>
      <c r="AI117" s="163">
        <v>0</v>
      </c>
      <c r="AJ117" s="163">
        <v>0</v>
      </c>
      <c r="AK117" s="163">
        <v>0</v>
      </c>
      <c r="AL117" s="20"/>
      <c r="AM117" s="20"/>
      <c r="AN117" s="20"/>
      <c r="AO117" s="20"/>
      <c r="AP117" s="427">
        <v>-2</v>
      </c>
      <c r="AQ117" s="427"/>
      <c r="AR117" s="339">
        <f t="shared" si="53"/>
        <v>-2</v>
      </c>
      <c r="AS117" s="225"/>
      <c r="AT117" s="20"/>
      <c r="AU117" s="20" t="s">
        <v>513</v>
      </c>
      <c r="AV117" s="20"/>
      <c r="AW117" s="331">
        <v>0</v>
      </c>
      <c r="AX117" s="331">
        <v>0</v>
      </c>
      <c r="AY117" s="331">
        <v>0</v>
      </c>
      <c r="AZ117" s="20"/>
      <c r="BA117" s="20"/>
      <c r="BB117" s="20"/>
      <c r="BC117" s="20"/>
      <c r="BD117" s="221" t="e">
        <f>-SUMIF(#REF!,'pôles &amp; actions'!$C117,#REF!)/1000</f>
        <v>#REF!</v>
      </c>
      <c r="BE117" s="221" t="e">
        <f>SUMIF(#REF!,'pôles &amp; actions'!$C117,#REF!)/1000</f>
        <v>#REF!</v>
      </c>
      <c r="BF117" s="221" t="e">
        <f t="shared" si="54"/>
        <v>#REF!</v>
      </c>
      <c r="BG117" s="221" t="e">
        <f t="shared" si="77"/>
        <v>#REF!</v>
      </c>
      <c r="BK117" s="446"/>
      <c r="BL117" s="446"/>
      <c r="BM117" s="345">
        <f t="shared" si="75"/>
        <v>0</v>
      </c>
      <c r="BN117" s="225"/>
    </row>
    <row r="118" spans="1:66" ht="15" customHeight="1" outlineLevel="2" x14ac:dyDescent="0.25">
      <c r="A118" s="324">
        <v>111</v>
      </c>
      <c r="B118" s="385" t="s">
        <v>39</v>
      </c>
      <c r="C118" s="386" t="s">
        <v>160</v>
      </c>
      <c r="D118" s="37">
        <v>-0.6</v>
      </c>
      <c r="E118" s="37">
        <v>0</v>
      </c>
      <c r="F118" s="37">
        <f t="shared" si="79"/>
        <v>-0.6</v>
      </c>
      <c r="G118" s="38"/>
      <c r="H118" s="39"/>
      <c r="I118" s="37">
        <v>0</v>
      </c>
      <c r="J118" s="37">
        <v>0</v>
      </c>
      <c r="K118" s="37">
        <f t="shared" ref="K118:K123" si="90">SUM(I118:J118)</f>
        <v>0</v>
      </c>
      <c r="L118" s="38"/>
      <c r="M118" s="38"/>
      <c r="N118" s="37" t="e">
        <f>-SUMIF(#REF!,$C118,#REF!)/1000</f>
        <v>#REF!</v>
      </c>
      <c r="O118" s="37" t="e">
        <f>SUMIF(#REF!,$C118,#REF!)/1000</f>
        <v>#REF!</v>
      </c>
      <c r="P118" s="37" t="e">
        <f t="shared" si="86"/>
        <v>#REF!</v>
      </c>
      <c r="Q118" s="39"/>
      <c r="R118" s="157">
        <v>-0.1</v>
      </c>
      <c r="S118" s="157">
        <v>0</v>
      </c>
      <c r="T118" s="157">
        <f t="shared" si="87"/>
        <v>-0.1</v>
      </c>
      <c r="U118" s="37"/>
      <c r="V118" s="407">
        <v>0</v>
      </c>
      <c r="W118" s="407">
        <v>0</v>
      </c>
      <c r="X118" s="407">
        <f t="shared" si="89"/>
        <v>0</v>
      </c>
      <c r="Y118" s="46"/>
      <c r="Z118" s="46"/>
      <c r="AA118" s="39"/>
      <c r="AB118" s="248"/>
      <c r="AC118" s="248"/>
      <c r="AD118" s="248">
        <f t="shared" si="88"/>
        <v>0</v>
      </c>
      <c r="AE118" s="193"/>
      <c r="AF118" s="199"/>
      <c r="AG118" s="194"/>
      <c r="AH118" s="195"/>
      <c r="AI118" s="163">
        <v>0</v>
      </c>
      <c r="AJ118" s="163">
        <v>0</v>
      </c>
      <c r="AK118" s="163">
        <v>0</v>
      </c>
      <c r="AL118" s="20"/>
      <c r="AM118" s="20"/>
      <c r="AN118" s="20"/>
      <c r="AO118" s="20"/>
      <c r="AP118" s="427"/>
      <c r="AQ118" s="427"/>
      <c r="AR118" s="339">
        <f t="shared" si="53"/>
        <v>0</v>
      </c>
      <c r="AS118" s="225"/>
      <c r="AT118" s="20"/>
      <c r="AU118" s="20"/>
      <c r="AV118" s="20"/>
      <c r="AW118" s="331">
        <v>0</v>
      </c>
      <c r="AX118" s="331">
        <v>0</v>
      </c>
      <c r="AY118" s="331">
        <v>0</v>
      </c>
      <c r="AZ118" s="20"/>
      <c r="BA118" s="20"/>
      <c r="BB118" s="20"/>
      <c r="BC118" s="20"/>
      <c r="BD118" s="221" t="e">
        <f>-SUMIF(#REF!,'pôles &amp; actions'!$C118,#REF!)/1000</f>
        <v>#REF!</v>
      </c>
      <c r="BE118" s="221" t="e">
        <f>SUMIF(#REF!,'pôles &amp; actions'!$C118,#REF!)/1000</f>
        <v>#REF!</v>
      </c>
      <c r="BF118" s="221" t="e">
        <f t="shared" si="54"/>
        <v>#REF!</v>
      </c>
      <c r="BG118" s="221" t="e">
        <f t="shared" si="77"/>
        <v>#REF!</v>
      </c>
      <c r="BK118" s="345"/>
      <c r="BL118" s="446"/>
      <c r="BM118" s="345">
        <f t="shared" si="75"/>
        <v>0</v>
      </c>
      <c r="BN118" s="225"/>
    </row>
    <row r="119" spans="1:66" ht="15" customHeight="1" outlineLevel="2" x14ac:dyDescent="0.25">
      <c r="A119" s="324">
        <v>112</v>
      </c>
      <c r="B119" s="385" t="s">
        <v>161</v>
      </c>
      <c r="C119" s="386" t="s">
        <v>162</v>
      </c>
      <c r="D119" s="37">
        <v>-8</v>
      </c>
      <c r="E119" s="37">
        <v>0</v>
      </c>
      <c r="F119" s="37">
        <f t="shared" si="79"/>
        <v>-8</v>
      </c>
      <c r="G119" s="38"/>
      <c r="H119" s="39"/>
      <c r="I119" s="37">
        <v>0</v>
      </c>
      <c r="J119" s="37">
        <v>0</v>
      </c>
      <c r="K119" s="37">
        <f t="shared" si="90"/>
        <v>0</v>
      </c>
      <c r="L119" s="38"/>
      <c r="M119" s="38"/>
      <c r="N119" s="37" t="e">
        <f>-SUMIF(#REF!,$C119,#REF!)/1000</f>
        <v>#REF!</v>
      </c>
      <c r="O119" s="37" t="e">
        <f>SUMIF(#REF!,$C119,#REF!)/1000</f>
        <v>#REF!</v>
      </c>
      <c r="P119" s="37" t="e">
        <f t="shared" si="86"/>
        <v>#REF!</v>
      </c>
      <c r="Q119" s="39"/>
      <c r="R119" s="157">
        <v>-8</v>
      </c>
      <c r="S119" s="157">
        <v>0</v>
      </c>
      <c r="T119" s="157">
        <f t="shared" si="87"/>
        <v>-8</v>
      </c>
      <c r="U119" s="37"/>
      <c r="V119" s="407">
        <v>-8</v>
      </c>
      <c r="W119" s="407">
        <v>0</v>
      </c>
      <c r="X119" s="407">
        <f t="shared" si="89"/>
        <v>-8</v>
      </c>
      <c r="Y119" s="46"/>
      <c r="Z119" s="46"/>
      <c r="AA119" s="39"/>
      <c r="AB119" s="248">
        <v>-4</v>
      </c>
      <c r="AC119" s="248"/>
      <c r="AD119" s="248">
        <f t="shared" si="88"/>
        <v>-4</v>
      </c>
      <c r="AE119" s="193"/>
      <c r="AF119" s="199"/>
      <c r="AG119" s="194"/>
      <c r="AH119" s="195"/>
      <c r="AI119" s="163">
        <v>-4</v>
      </c>
      <c r="AJ119" s="163">
        <v>0</v>
      </c>
      <c r="AK119" s="163">
        <v>-4</v>
      </c>
      <c r="AL119" s="20"/>
      <c r="AM119" s="20"/>
      <c r="AN119" s="20"/>
      <c r="AO119" s="20"/>
      <c r="AP119" s="427">
        <v>-4</v>
      </c>
      <c r="AQ119" s="427"/>
      <c r="AR119" s="339">
        <f t="shared" si="53"/>
        <v>-4</v>
      </c>
      <c r="AS119" s="225"/>
      <c r="AT119" s="20"/>
      <c r="AU119" s="20"/>
      <c r="AV119" s="20"/>
      <c r="AW119" s="331">
        <v>0</v>
      </c>
      <c r="AX119" s="331">
        <v>0</v>
      </c>
      <c r="AY119" s="331">
        <v>0</v>
      </c>
      <c r="AZ119" s="20"/>
      <c r="BA119" s="20"/>
      <c r="BB119" s="20"/>
      <c r="BC119" s="20"/>
      <c r="BD119" s="221" t="e">
        <f>-SUMIF(#REF!,'pôles &amp; actions'!$C119,#REF!)/1000</f>
        <v>#REF!</v>
      </c>
      <c r="BE119" s="221" t="e">
        <f>SUMIF(#REF!,'pôles &amp; actions'!$C119,#REF!)/1000</f>
        <v>#REF!</v>
      </c>
      <c r="BF119" s="221" t="e">
        <f t="shared" si="54"/>
        <v>#REF!</v>
      </c>
      <c r="BG119" s="221" t="e">
        <f t="shared" si="77"/>
        <v>#REF!</v>
      </c>
      <c r="BK119" s="345">
        <f>-1.2-4</f>
        <v>-5.2</v>
      </c>
      <c r="BL119" s="446"/>
      <c r="BM119" s="345">
        <f t="shared" si="75"/>
        <v>-5.2</v>
      </c>
      <c r="BN119" s="225"/>
    </row>
    <row r="120" spans="1:66" ht="15" customHeight="1" outlineLevel="2" x14ac:dyDescent="0.25">
      <c r="A120" s="324">
        <v>113</v>
      </c>
      <c r="B120" s="385" t="s">
        <v>163</v>
      </c>
      <c r="C120" s="386" t="s">
        <v>164</v>
      </c>
      <c r="D120" s="37">
        <v>0</v>
      </c>
      <c r="E120" s="37">
        <v>0</v>
      </c>
      <c r="F120" s="37">
        <f t="shared" si="79"/>
        <v>0</v>
      </c>
      <c r="G120" s="38"/>
      <c r="H120" s="39"/>
      <c r="I120" s="37">
        <v>-8</v>
      </c>
      <c r="J120" s="37">
        <v>0</v>
      </c>
      <c r="K120" s="37">
        <f t="shared" si="90"/>
        <v>-8</v>
      </c>
      <c r="L120" s="38"/>
      <c r="M120" s="38"/>
      <c r="N120" s="37" t="e">
        <f>-SUMIF(#REF!,$C120,#REF!)/1000</f>
        <v>#REF!</v>
      </c>
      <c r="O120" s="37" t="e">
        <f>SUMIF(#REF!,$C120,#REF!)/1000</f>
        <v>#REF!</v>
      </c>
      <c r="P120" s="37" t="e">
        <f t="shared" si="86"/>
        <v>#REF!</v>
      </c>
      <c r="Q120" s="39"/>
      <c r="R120" s="157"/>
      <c r="S120" s="157"/>
      <c r="T120" s="157">
        <f t="shared" si="87"/>
        <v>0</v>
      </c>
      <c r="U120" s="37"/>
      <c r="V120" s="407">
        <v>0</v>
      </c>
      <c r="W120" s="407">
        <v>0</v>
      </c>
      <c r="X120" s="407">
        <f t="shared" si="89"/>
        <v>0</v>
      </c>
      <c r="Y120" s="46"/>
      <c r="Z120" s="46"/>
      <c r="AA120" s="39"/>
      <c r="AB120" s="248"/>
      <c r="AC120" s="248"/>
      <c r="AD120" s="248">
        <f t="shared" si="88"/>
        <v>0</v>
      </c>
      <c r="AE120" s="193"/>
      <c r="AF120" s="199"/>
      <c r="AG120" s="194"/>
      <c r="AH120" s="195"/>
      <c r="AI120" s="163">
        <v>0</v>
      </c>
      <c r="AJ120" s="163">
        <v>0</v>
      </c>
      <c r="AK120" s="163">
        <v>0</v>
      </c>
      <c r="AL120" s="20"/>
      <c r="AM120" s="20"/>
      <c r="AN120" s="20"/>
      <c r="AO120" s="20"/>
      <c r="AP120" s="427"/>
      <c r="AQ120" s="427"/>
      <c r="AR120" s="339">
        <f t="shared" si="53"/>
        <v>0</v>
      </c>
      <c r="AS120" s="225"/>
      <c r="AT120" s="20"/>
      <c r="AU120" s="20"/>
      <c r="AV120" s="20"/>
      <c r="AW120" s="331">
        <v>0</v>
      </c>
      <c r="AX120" s="331">
        <v>0</v>
      </c>
      <c r="AY120" s="331">
        <v>0</v>
      </c>
      <c r="AZ120" s="20"/>
      <c r="BA120" s="20"/>
      <c r="BB120" s="20"/>
      <c r="BC120" s="20"/>
      <c r="BD120" s="221" t="e">
        <f>-SUMIF(#REF!,'pôles &amp; actions'!$C120,#REF!)/1000</f>
        <v>#REF!</v>
      </c>
      <c r="BE120" s="221" t="e">
        <f>SUMIF(#REF!,'pôles &amp; actions'!$C120,#REF!)/1000</f>
        <v>#REF!</v>
      </c>
      <c r="BF120" s="221" t="e">
        <f t="shared" si="54"/>
        <v>#REF!</v>
      </c>
      <c r="BG120" s="221" t="e">
        <f t="shared" si="77"/>
        <v>#REF!</v>
      </c>
      <c r="BK120" s="345"/>
      <c r="BL120" s="446"/>
      <c r="BM120" s="345">
        <f t="shared" si="75"/>
        <v>0</v>
      </c>
      <c r="BN120" s="225"/>
    </row>
    <row r="121" spans="1:66" ht="15" customHeight="1" outlineLevel="2" x14ac:dyDescent="0.25">
      <c r="A121" s="324">
        <v>114</v>
      </c>
      <c r="B121" s="385" t="s">
        <v>165</v>
      </c>
      <c r="C121" s="386" t="s">
        <v>166</v>
      </c>
      <c r="D121" s="37">
        <v>-4.1500000000000004</v>
      </c>
      <c r="E121" s="37">
        <v>0</v>
      </c>
      <c r="F121" s="37">
        <f t="shared" si="79"/>
        <v>-4.1500000000000004</v>
      </c>
      <c r="G121" s="38"/>
      <c r="H121" s="39"/>
      <c r="I121" s="37">
        <v>-0.5</v>
      </c>
      <c r="J121" s="37">
        <v>0</v>
      </c>
      <c r="K121" s="37">
        <f t="shared" si="90"/>
        <v>-0.5</v>
      </c>
      <c r="L121" s="38"/>
      <c r="M121" s="38"/>
      <c r="N121" s="37" t="e">
        <f>-SUMIF(#REF!,$C121,#REF!)/1000</f>
        <v>#REF!</v>
      </c>
      <c r="O121" s="37" t="e">
        <f>SUMIF(#REF!,$C121,#REF!)/1000</f>
        <v>#REF!</v>
      </c>
      <c r="P121" s="37" t="e">
        <f t="shared" si="86"/>
        <v>#REF!</v>
      </c>
      <c r="Q121" s="39"/>
      <c r="R121" s="157">
        <v>-8.83</v>
      </c>
      <c r="S121" s="157">
        <v>0</v>
      </c>
      <c r="T121" s="157">
        <f t="shared" si="87"/>
        <v>-8.83</v>
      </c>
      <c r="U121" s="37"/>
      <c r="V121" s="407">
        <v>-0.81532000000000004</v>
      </c>
      <c r="W121" s="407">
        <v>0</v>
      </c>
      <c r="X121" s="407">
        <f t="shared" si="89"/>
        <v>-0.81532000000000004</v>
      </c>
      <c r="Y121" s="46"/>
      <c r="Z121" s="131" t="s">
        <v>418</v>
      </c>
      <c r="AA121" s="39"/>
      <c r="AB121" s="248">
        <v>-2</v>
      </c>
      <c r="AC121" s="248"/>
      <c r="AD121" s="248">
        <f t="shared" si="88"/>
        <v>-2</v>
      </c>
      <c r="AE121" s="193"/>
      <c r="AF121" s="199"/>
      <c r="AG121" s="194"/>
      <c r="AH121" s="195"/>
      <c r="AI121" s="163">
        <v>-0.9</v>
      </c>
      <c r="AJ121" s="163">
        <v>0</v>
      </c>
      <c r="AK121" s="163">
        <v>-0.9</v>
      </c>
      <c r="AL121" s="20"/>
      <c r="AM121" s="20"/>
      <c r="AN121" s="20"/>
      <c r="AO121" s="20"/>
      <c r="AP121" s="427">
        <f>-2.5+(-1.98)</f>
        <v>-4.4800000000000004</v>
      </c>
      <c r="AQ121" s="427"/>
      <c r="AR121" s="339">
        <f t="shared" si="53"/>
        <v>-4.4800000000000004</v>
      </c>
      <c r="AS121" s="225"/>
      <c r="AT121" s="268" t="s">
        <v>476</v>
      </c>
      <c r="AU121" s="20"/>
      <c r="AV121" s="20"/>
      <c r="AW121" s="331">
        <v>-1.1769400000000001</v>
      </c>
      <c r="AX121" s="331">
        <v>1.1769400000000001</v>
      </c>
      <c r="AY121" s="331">
        <v>0</v>
      </c>
      <c r="AZ121" s="20"/>
      <c r="BA121" s="20"/>
      <c r="BB121" s="20"/>
      <c r="BC121" s="20"/>
      <c r="BD121" s="221" t="e">
        <f>-SUMIF(#REF!,'pôles &amp; actions'!$C121,#REF!)/1000</f>
        <v>#REF!</v>
      </c>
      <c r="BE121" s="221" t="e">
        <f>SUMIF(#REF!,'pôles &amp; actions'!$C121,#REF!)/1000</f>
        <v>#REF!</v>
      </c>
      <c r="BF121" s="221" t="e">
        <f t="shared" si="54"/>
        <v>#REF!</v>
      </c>
      <c r="BG121" s="221" t="e">
        <f t="shared" si="77"/>
        <v>#REF!</v>
      </c>
      <c r="BK121" s="345">
        <v>-5.2</v>
      </c>
      <c r="BL121" s="446"/>
      <c r="BM121" s="345">
        <f t="shared" si="75"/>
        <v>-5.2</v>
      </c>
      <c r="BN121" s="225"/>
    </row>
    <row r="122" spans="1:66" ht="15" customHeight="1" outlineLevel="2" x14ac:dyDescent="0.25">
      <c r="A122" s="324">
        <v>115</v>
      </c>
      <c r="B122" s="385" t="s">
        <v>167</v>
      </c>
      <c r="C122" s="386" t="s">
        <v>168</v>
      </c>
      <c r="D122" s="37">
        <v>-1.5</v>
      </c>
      <c r="E122" s="37">
        <v>0</v>
      </c>
      <c r="F122" s="37">
        <f t="shared" si="79"/>
        <v>-1.5</v>
      </c>
      <c r="G122" s="38"/>
      <c r="H122" s="39"/>
      <c r="I122" s="37">
        <v>-1.4319999999999999</v>
      </c>
      <c r="J122" s="37">
        <v>0</v>
      </c>
      <c r="K122" s="37">
        <f t="shared" si="90"/>
        <v>-1.4319999999999999</v>
      </c>
      <c r="L122" s="38"/>
      <c r="M122" s="38"/>
      <c r="N122" s="37" t="e">
        <f>-SUMIF(#REF!,$C122,#REF!)/1000</f>
        <v>#REF!</v>
      </c>
      <c r="O122" s="37" t="e">
        <f>SUMIF(#REF!,$C122,#REF!)/1000</f>
        <v>#REF!</v>
      </c>
      <c r="P122" s="37" t="e">
        <f t="shared" si="86"/>
        <v>#REF!</v>
      </c>
      <c r="Q122" s="39"/>
      <c r="R122" s="157">
        <v>-1.6</v>
      </c>
      <c r="S122" s="157">
        <v>0</v>
      </c>
      <c r="T122" s="157">
        <f t="shared" si="87"/>
        <v>-1.6</v>
      </c>
      <c r="U122" s="37"/>
      <c r="V122" s="407">
        <v>-0.76388999999999996</v>
      </c>
      <c r="W122" s="407">
        <v>0</v>
      </c>
      <c r="X122" s="407">
        <f t="shared" si="89"/>
        <v>-0.76388999999999996</v>
      </c>
      <c r="Y122" s="46"/>
      <c r="Z122" s="46"/>
      <c r="AA122" s="39"/>
      <c r="AB122" s="248">
        <v>-0.3</v>
      </c>
      <c r="AC122" s="248"/>
      <c r="AD122" s="248">
        <f t="shared" si="88"/>
        <v>-0.3</v>
      </c>
      <c r="AE122" s="193"/>
      <c r="AF122" s="199"/>
      <c r="AG122" s="194"/>
      <c r="AH122" s="195"/>
      <c r="AI122" s="163">
        <v>0</v>
      </c>
      <c r="AJ122" s="163">
        <v>0</v>
      </c>
      <c r="AK122" s="163">
        <v>0</v>
      </c>
      <c r="AL122" s="20"/>
      <c r="AM122" s="20"/>
      <c r="AN122" s="20"/>
      <c r="AO122" s="20"/>
      <c r="AP122" s="427">
        <v>-0.3</v>
      </c>
      <c r="AQ122" s="427"/>
      <c r="AR122" s="339">
        <f t="shared" si="53"/>
        <v>-0.3</v>
      </c>
      <c r="AS122" s="225"/>
      <c r="AT122" s="20"/>
      <c r="AU122" s="20"/>
      <c r="AV122" s="20"/>
      <c r="AW122" s="331">
        <v>0</v>
      </c>
      <c r="AX122" s="331">
        <v>0</v>
      </c>
      <c r="AY122" s="331">
        <v>0</v>
      </c>
      <c r="AZ122" s="20"/>
      <c r="BA122" s="20"/>
      <c r="BB122" s="20"/>
      <c r="BC122" s="20"/>
      <c r="BD122" s="221" t="e">
        <f>-SUMIF(#REF!,'pôles &amp; actions'!$C122,#REF!)/1000</f>
        <v>#REF!</v>
      </c>
      <c r="BE122" s="221" t="e">
        <f>SUMIF(#REF!,'pôles &amp; actions'!$C122,#REF!)/1000</f>
        <v>#REF!</v>
      </c>
      <c r="BF122" s="221" t="e">
        <f t="shared" si="54"/>
        <v>#REF!</v>
      </c>
      <c r="BG122" s="221" t="e">
        <f t="shared" si="77"/>
        <v>#REF!</v>
      </c>
      <c r="BK122" s="345"/>
      <c r="BL122" s="446"/>
      <c r="BM122" s="345">
        <f t="shared" si="75"/>
        <v>0</v>
      </c>
      <c r="BN122" s="225"/>
    </row>
    <row r="123" spans="1:66" ht="15" customHeight="1" outlineLevel="2" x14ac:dyDescent="0.25">
      <c r="A123" s="324">
        <v>116</v>
      </c>
      <c r="B123" s="385" t="s">
        <v>169</v>
      </c>
      <c r="C123" s="386" t="s">
        <v>170</v>
      </c>
      <c r="D123" s="37">
        <v>-3</v>
      </c>
      <c r="E123" s="37">
        <v>0</v>
      </c>
      <c r="F123" s="37">
        <f t="shared" si="79"/>
        <v>-3</v>
      </c>
      <c r="G123" s="38"/>
      <c r="H123" s="39"/>
      <c r="I123" s="37">
        <v>-1.5</v>
      </c>
      <c r="J123" s="37">
        <v>0</v>
      </c>
      <c r="K123" s="37">
        <f t="shared" si="90"/>
        <v>-1.5</v>
      </c>
      <c r="L123" s="38"/>
      <c r="M123" s="38"/>
      <c r="N123" s="37" t="e">
        <f>-SUMIF(#REF!,$C123,#REF!)/1000</f>
        <v>#REF!</v>
      </c>
      <c r="O123" s="37" t="e">
        <f>SUMIF(#REF!,$C123,#REF!)/1000</f>
        <v>#REF!</v>
      </c>
      <c r="P123" s="37" t="e">
        <f t="shared" si="86"/>
        <v>#REF!</v>
      </c>
      <c r="Q123" s="39"/>
      <c r="R123" s="157">
        <v>-1.5</v>
      </c>
      <c r="S123" s="157">
        <v>0</v>
      </c>
      <c r="T123" s="157">
        <f t="shared" si="87"/>
        <v>-1.5</v>
      </c>
      <c r="U123" s="37"/>
      <c r="V123" s="407">
        <v>-3</v>
      </c>
      <c r="W123" s="407">
        <v>0</v>
      </c>
      <c r="X123" s="407">
        <f t="shared" si="89"/>
        <v>-3</v>
      </c>
      <c r="Y123" s="46"/>
      <c r="Z123" s="131" t="s">
        <v>418</v>
      </c>
      <c r="AA123" s="39"/>
      <c r="AB123" s="248">
        <v>-2</v>
      </c>
      <c r="AC123" s="248"/>
      <c r="AD123" s="248">
        <f t="shared" si="88"/>
        <v>-2</v>
      </c>
      <c r="AE123" s="193"/>
      <c r="AF123" s="199"/>
      <c r="AG123" s="194"/>
      <c r="AH123" s="195"/>
      <c r="AI123" s="163">
        <v>-1.5</v>
      </c>
      <c r="AJ123" s="163">
        <v>0</v>
      </c>
      <c r="AK123" s="163">
        <v>-1.5</v>
      </c>
      <c r="AL123" s="20"/>
      <c r="AM123" s="20"/>
      <c r="AN123" s="20"/>
      <c r="AO123" s="20"/>
      <c r="AP123" s="427">
        <v>-1.5</v>
      </c>
      <c r="AQ123" s="427"/>
      <c r="AR123" s="339">
        <f t="shared" si="53"/>
        <v>-1.5</v>
      </c>
      <c r="AS123" s="225"/>
      <c r="AT123" s="20"/>
      <c r="AU123" s="20" t="s">
        <v>512</v>
      </c>
      <c r="AV123" s="20"/>
      <c r="AW123" s="331">
        <v>0</v>
      </c>
      <c r="AX123" s="331">
        <v>0</v>
      </c>
      <c r="AY123" s="331">
        <v>0</v>
      </c>
      <c r="AZ123" s="20"/>
      <c r="BA123" s="20"/>
      <c r="BB123" s="20"/>
      <c r="BC123" s="20"/>
      <c r="BD123" s="221" t="e">
        <f>-SUMIF(#REF!,'pôles &amp; actions'!$C123,#REF!)/1000</f>
        <v>#REF!</v>
      </c>
      <c r="BE123" s="221" t="e">
        <f>SUMIF(#REF!,'pôles &amp; actions'!$C123,#REF!)/1000</f>
        <v>#REF!</v>
      </c>
      <c r="BF123" s="221" t="e">
        <f t="shared" si="54"/>
        <v>#REF!</v>
      </c>
      <c r="BG123" s="221" t="e">
        <f t="shared" si="77"/>
        <v>#REF!</v>
      </c>
      <c r="BK123" s="345">
        <v>-3</v>
      </c>
      <c r="BL123" s="446"/>
      <c r="BM123" s="345">
        <f t="shared" si="75"/>
        <v>-3</v>
      </c>
      <c r="BN123" s="225"/>
    </row>
    <row r="124" spans="1:66" ht="15" hidden="1" customHeight="1" outlineLevel="3" x14ac:dyDescent="0.25">
      <c r="A124" s="324">
        <v>116</v>
      </c>
      <c r="B124" s="385" t="s">
        <v>45</v>
      </c>
      <c r="C124" s="386" t="s">
        <v>171</v>
      </c>
      <c r="D124" s="37"/>
      <c r="E124" s="37"/>
      <c r="F124" s="37"/>
      <c r="G124" s="38"/>
      <c r="H124" s="39"/>
      <c r="I124" s="37">
        <v>0</v>
      </c>
      <c r="J124" s="37"/>
      <c r="K124" s="37"/>
      <c r="L124" s="38"/>
      <c r="M124" s="38"/>
      <c r="N124" s="37" t="e">
        <f>-SUMIF(#REF!,$C124,#REF!)/1000</f>
        <v>#REF!</v>
      </c>
      <c r="O124" s="37" t="e">
        <f>SUMIF(#REF!,$C124,#REF!)/1000</f>
        <v>#REF!</v>
      </c>
      <c r="P124" s="37" t="e">
        <f t="shared" si="86"/>
        <v>#REF!</v>
      </c>
      <c r="Q124" s="39"/>
      <c r="R124" s="157">
        <v>0</v>
      </c>
      <c r="S124" s="157">
        <v>0</v>
      </c>
      <c r="T124" s="157">
        <f t="shared" si="87"/>
        <v>0</v>
      </c>
      <c r="U124" s="37"/>
      <c r="V124" s="407">
        <v>0</v>
      </c>
      <c r="W124" s="407">
        <v>0</v>
      </c>
      <c r="X124" s="407">
        <f t="shared" si="89"/>
        <v>0</v>
      </c>
      <c r="Y124" s="46"/>
      <c r="Z124" s="126"/>
      <c r="AA124" s="39"/>
      <c r="AB124" s="248"/>
      <c r="AC124" s="248"/>
      <c r="AD124" s="248">
        <f t="shared" si="88"/>
        <v>0</v>
      </c>
      <c r="AE124" s="193"/>
      <c r="AF124" s="199"/>
      <c r="AG124" s="194"/>
      <c r="AH124" s="195"/>
      <c r="AI124" s="163">
        <v>0</v>
      </c>
      <c r="AJ124" s="163">
        <v>0</v>
      </c>
      <c r="AK124" s="163">
        <v>0</v>
      </c>
      <c r="AL124" s="20"/>
      <c r="AM124" s="20"/>
      <c r="AN124" s="20"/>
      <c r="AO124" s="20"/>
      <c r="AP124" s="427"/>
      <c r="AQ124" s="427"/>
      <c r="AR124" s="339">
        <f t="shared" si="53"/>
        <v>0</v>
      </c>
      <c r="AS124" s="225"/>
      <c r="AT124" s="20"/>
      <c r="AU124" s="20"/>
      <c r="AV124" s="20"/>
      <c r="AW124" s="331">
        <v>0</v>
      </c>
      <c r="AX124" s="331">
        <v>0</v>
      </c>
      <c r="AY124" s="331">
        <v>0</v>
      </c>
      <c r="AZ124" s="20"/>
      <c r="BA124" s="20"/>
      <c r="BB124" s="20"/>
      <c r="BC124" s="20"/>
      <c r="BD124" s="221" t="e">
        <f>-SUMIF(#REF!,'pôles &amp; actions'!$C124,#REF!)/1000</f>
        <v>#REF!</v>
      </c>
      <c r="BE124" s="221" t="e">
        <f>SUMIF(#REF!,'pôles &amp; actions'!$C124,#REF!)/1000</f>
        <v>#REF!</v>
      </c>
      <c r="BF124" s="221" t="e">
        <f t="shared" si="54"/>
        <v>#REF!</v>
      </c>
      <c r="BG124" s="221" t="e">
        <f t="shared" si="77"/>
        <v>#REF!</v>
      </c>
      <c r="BK124" s="345"/>
      <c r="BL124" s="446"/>
      <c r="BM124" s="345">
        <f t="shared" si="75"/>
        <v>0</v>
      </c>
      <c r="BN124" s="225"/>
    </row>
    <row r="125" spans="1:66" ht="15" customHeight="1" outlineLevel="2" collapsed="1" x14ac:dyDescent="0.25">
      <c r="A125" s="324">
        <v>117</v>
      </c>
      <c r="B125" s="385" t="s">
        <v>172</v>
      </c>
      <c r="C125" s="386" t="s">
        <v>173</v>
      </c>
      <c r="D125" s="37">
        <v>-2.5</v>
      </c>
      <c r="E125" s="37">
        <v>0</v>
      </c>
      <c r="F125" s="37">
        <f>SUM(D125:E125)</f>
        <v>-2.5</v>
      </c>
      <c r="G125" s="38"/>
      <c r="H125" s="39"/>
      <c r="I125" s="37">
        <v>-1.3939999999999999</v>
      </c>
      <c r="J125" s="37">
        <v>0.158</v>
      </c>
      <c r="K125" s="37">
        <f t="shared" ref="K125:K126" si="91">SUM(I125:J125)</f>
        <v>-1.236</v>
      </c>
      <c r="L125" s="38"/>
      <c r="M125" s="38"/>
      <c r="N125" s="37" t="e">
        <f>-SUMIF(#REF!,$C125,#REF!)/1000</f>
        <v>#REF!</v>
      </c>
      <c r="O125" s="37" t="e">
        <f>SUMIF(#REF!,$C125,#REF!)/1000</f>
        <v>#REF!</v>
      </c>
      <c r="P125" s="37" t="e">
        <f t="shared" si="86"/>
        <v>#REF!</v>
      </c>
      <c r="Q125" s="39"/>
      <c r="R125" s="157">
        <v>-0.7</v>
      </c>
      <c r="S125" s="157">
        <v>0</v>
      </c>
      <c r="T125" s="157">
        <f t="shared" si="87"/>
        <v>-0.7</v>
      </c>
      <c r="U125" s="37"/>
      <c r="V125" s="407">
        <v>-0.69</v>
      </c>
      <c r="W125" s="407">
        <v>0</v>
      </c>
      <c r="X125" s="407">
        <f t="shared" si="89"/>
        <v>-0.69</v>
      </c>
      <c r="Y125" s="46"/>
      <c r="Z125" s="131" t="s">
        <v>418</v>
      </c>
      <c r="AA125" s="39"/>
      <c r="AB125" s="248">
        <v>-0.3</v>
      </c>
      <c r="AC125" s="248"/>
      <c r="AD125" s="248">
        <f t="shared" si="88"/>
        <v>-0.3</v>
      </c>
      <c r="AE125" s="193"/>
      <c r="AF125" s="199"/>
      <c r="AG125" s="194"/>
      <c r="AH125" s="195"/>
      <c r="AI125" s="163">
        <v>-0.58650000000000002</v>
      </c>
      <c r="AJ125" s="163">
        <v>0</v>
      </c>
      <c r="AK125" s="163">
        <v>-0.58650000000000002</v>
      </c>
      <c r="AL125" s="20"/>
      <c r="AM125" s="20"/>
      <c r="AN125" s="20"/>
      <c r="AO125" s="20"/>
      <c r="AP125" s="427">
        <v>-0.3</v>
      </c>
      <c r="AQ125" s="427"/>
      <c r="AR125" s="339">
        <f t="shared" si="53"/>
        <v>-0.3</v>
      </c>
      <c r="AS125" s="225"/>
      <c r="AT125" s="20"/>
      <c r="AU125" s="20"/>
      <c r="AV125" s="20"/>
      <c r="AW125" s="331">
        <v>-0.69</v>
      </c>
      <c r="AX125" s="331">
        <v>0</v>
      </c>
      <c r="AY125" s="331">
        <v>-0.69</v>
      </c>
      <c r="AZ125" s="20"/>
      <c r="BA125" s="20"/>
      <c r="BB125" s="20"/>
      <c r="BC125" s="20"/>
      <c r="BD125" s="221" t="e">
        <f>-SUMIF(#REF!,'pôles &amp; actions'!$C125,#REF!)/1000</f>
        <v>#REF!</v>
      </c>
      <c r="BE125" s="221" t="e">
        <f>SUMIF(#REF!,'pôles &amp; actions'!$C125,#REF!)/1000</f>
        <v>#REF!</v>
      </c>
      <c r="BF125" s="221" t="e">
        <f t="shared" si="54"/>
        <v>#REF!</v>
      </c>
      <c r="BG125" s="221" t="e">
        <f t="shared" si="77"/>
        <v>#REF!</v>
      </c>
      <c r="BK125" s="345">
        <v>-0.3</v>
      </c>
      <c r="BL125" s="446"/>
      <c r="BM125" s="345">
        <f t="shared" si="75"/>
        <v>-0.3</v>
      </c>
      <c r="BN125" s="225"/>
    </row>
    <row r="126" spans="1:66" ht="15" customHeight="1" outlineLevel="2" x14ac:dyDescent="0.25">
      <c r="A126" s="324">
        <v>118</v>
      </c>
      <c r="B126" s="385" t="s">
        <v>174</v>
      </c>
      <c r="C126" s="386" t="s">
        <v>449</v>
      </c>
      <c r="D126" s="37"/>
      <c r="E126" s="37"/>
      <c r="F126" s="37"/>
      <c r="G126" s="38"/>
      <c r="H126" s="39"/>
      <c r="I126" s="37">
        <v>0</v>
      </c>
      <c r="J126" s="37">
        <v>0</v>
      </c>
      <c r="K126" s="37">
        <f t="shared" si="91"/>
        <v>0</v>
      </c>
      <c r="L126" s="38"/>
      <c r="M126" s="38"/>
      <c r="N126" s="37" t="e">
        <f>-SUMIF(#REF!,$C126,#REF!)/1000</f>
        <v>#REF!</v>
      </c>
      <c r="O126" s="37" t="e">
        <f>SUMIF(#REF!,$C126,#REF!)/1000</f>
        <v>#REF!</v>
      </c>
      <c r="P126" s="37" t="e">
        <f t="shared" si="86"/>
        <v>#REF!</v>
      </c>
      <c r="Q126" s="39"/>
      <c r="R126" s="157">
        <v>-0.6</v>
      </c>
      <c r="S126" s="157">
        <v>0</v>
      </c>
      <c r="T126" s="157">
        <f t="shared" si="87"/>
        <v>-0.6</v>
      </c>
      <c r="U126" s="37"/>
      <c r="V126" s="407">
        <v>0</v>
      </c>
      <c r="W126" s="407">
        <v>0</v>
      </c>
      <c r="X126" s="407">
        <f t="shared" si="89"/>
        <v>0</v>
      </c>
      <c r="Y126" s="46"/>
      <c r="Z126" s="131" t="s">
        <v>418</v>
      </c>
      <c r="AA126" s="39"/>
      <c r="AB126" s="248">
        <v>-0.3</v>
      </c>
      <c r="AC126" s="248"/>
      <c r="AD126" s="248">
        <f t="shared" si="88"/>
        <v>-0.3</v>
      </c>
      <c r="AE126" s="193"/>
      <c r="AF126" s="199"/>
      <c r="AG126" s="194"/>
      <c r="AH126" s="195"/>
      <c r="AI126" s="163">
        <v>-0.21</v>
      </c>
      <c r="AJ126" s="163">
        <v>0</v>
      </c>
      <c r="AK126" s="163">
        <v>-0.21</v>
      </c>
      <c r="AL126" s="20"/>
      <c r="AM126" s="20"/>
      <c r="AN126" s="20"/>
      <c r="AO126" s="20"/>
      <c r="AP126" s="427">
        <v>-0.3</v>
      </c>
      <c r="AQ126" s="427"/>
      <c r="AR126" s="339">
        <f t="shared" si="53"/>
        <v>-0.3</v>
      </c>
      <c r="AS126" s="225"/>
      <c r="AT126" s="20"/>
      <c r="AU126" s="20"/>
      <c r="AV126" s="20"/>
      <c r="AW126" s="331">
        <v>0</v>
      </c>
      <c r="AX126" s="331">
        <v>0</v>
      </c>
      <c r="AY126" s="331">
        <v>0</v>
      </c>
      <c r="AZ126" s="20"/>
      <c r="BA126" s="20"/>
      <c r="BB126" s="20"/>
      <c r="BC126" s="20"/>
      <c r="BD126" s="221" t="e">
        <f>-SUMIF(#REF!,'pôles &amp; actions'!$C126,#REF!)/1000</f>
        <v>#REF!</v>
      </c>
      <c r="BE126" s="221" t="e">
        <f>SUMIF(#REF!,'pôles &amp; actions'!$C126,#REF!)/1000</f>
        <v>#REF!</v>
      </c>
      <c r="BF126" s="221" t="e">
        <f t="shared" si="54"/>
        <v>#REF!</v>
      </c>
      <c r="BG126" s="221" t="e">
        <f t="shared" si="77"/>
        <v>#REF!</v>
      </c>
      <c r="BK126" s="345">
        <v>-0.3</v>
      </c>
      <c r="BL126" s="446"/>
      <c r="BM126" s="345">
        <f t="shared" si="75"/>
        <v>-0.3</v>
      </c>
      <c r="BN126" s="225"/>
    </row>
    <row r="127" spans="1:66" ht="15" customHeight="1" outlineLevel="2" x14ac:dyDescent="0.25">
      <c r="A127" s="324">
        <v>119</v>
      </c>
      <c r="B127" s="385" t="s">
        <v>175</v>
      </c>
      <c r="C127" s="386" t="s">
        <v>176</v>
      </c>
      <c r="D127" s="37">
        <v>-7</v>
      </c>
      <c r="E127" s="37">
        <v>0</v>
      </c>
      <c r="F127" s="37">
        <f>SUM(D127:E127)</f>
        <v>-7</v>
      </c>
      <c r="G127" s="38"/>
      <c r="H127" s="39"/>
      <c r="I127" s="37">
        <v>-1.98</v>
      </c>
      <c r="J127" s="37">
        <v>0.1</v>
      </c>
      <c r="K127" s="37">
        <f>SUM(I127:J127)</f>
        <v>-1.88</v>
      </c>
      <c r="L127" s="38"/>
      <c r="M127" s="38"/>
      <c r="N127" s="37" t="e">
        <f>-SUMIF(#REF!,$C127,#REF!)/1000</f>
        <v>#REF!</v>
      </c>
      <c r="O127" s="37" t="e">
        <f>SUMIF(#REF!,$C127,#REF!)/1000</f>
        <v>#REF!</v>
      </c>
      <c r="P127" s="37" t="e">
        <f t="shared" si="86"/>
        <v>#REF!</v>
      </c>
      <c r="Q127" s="39"/>
      <c r="R127" s="157">
        <v>-1.5</v>
      </c>
      <c r="S127" s="157">
        <v>0</v>
      </c>
      <c r="T127" s="157">
        <f t="shared" si="87"/>
        <v>-1.5</v>
      </c>
      <c r="U127" s="37"/>
      <c r="V127" s="407">
        <v>-1.3031199999999998</v>
      </c>
      <c r="W127" s="407">
        <v>1.3031199999999998</v>
      </c>
      <c r="X127" s="407">
        <f t="shared" si="89"/>
        <v>0</v>
      </c>
      <c r="Y127" s="46"/>
      <c r="Z127" s="131" t="s">
        <v>418</v>
      </c>
      <c r="AA127" s="39"/>
      <c r="AB127" s="248">
        <v>-0.5</v>
      </c>
      <c r="AC127" s="248"/>
      <c r="AD127" s="248">
        <f t="shared" si="88"/>
        <v>-0.5</v>
      </c>
      <c r="AE127" s="193"/>
      <c r="AF127" s="199"/>
      <c r="AG127" s="194"/>
      <c r="AH127" s="195"/>
      <c r="AI127" s="163">
        <v>-1.93252</v>
      </c>
      <c r="AJ127" s="163">
        <v>0.8972</v>
      </c>
      <c r="AK127" s="163">
        <v>-1.03532</v>
      </c>
      <c r="AL127" s="20"/>
      <c r="AM127" s="20"/>
      <c r="AN127" s="20"/>
      <c r="AO127" s="20"/>
      <c r="AP127" s="427">
        <v>-0.5</v>
      </c>
      <c r="AQ127" s="427"/>
      <c r="AR127" s="339">
        <f t="shared" si="53"/>
        <v>-0.5</v>
      </c>
      <c r="AS127" s="225"/>
      <c r="AT127" s="20"/>
      <c r="AU127" s="20"/>
      <c r="AV127" s="20"/>
      <c r="AW127" s="331">
        <v>-2.0276299999999998</v>
      </c>
      <c r="AX127" s="331">
        <v>0.35538999999999998</v>
      </c>
      <c r="AY127" s="331">
        <v>-1.6722399999999999</v>
      </c>
      <c r="AZ127" s="20"/>
      <c r="BA127" s="20"/>
      <c r="BB127" s="20"/>
      <c r="BC127" s="20"/>
      <c r="BD127" s="221" t="e">
        <f>-SUMIF(#REF!,'pôles &amp; actions'!$C127,#REF!)/1000</f>
        <v>#REF!</v>
      </c>
      <c r="BE127" s="221" t="e">
        <f>SUMIF(#REF!,'pôles &amp; actions'!$C127,#REF!)/1000</f>
        <v>#REF!</v>
      </c>
      <c r="BF127" s="221" t="e">
        <f t="shared" si="54"/>
        <v>#REF!</v>
      </c>
      <c r="BG127" s="221" t="e">
        <f t="shared" si="77"/>
        <v>#REF!</v>
      </c>
      <c r="BK127" s="345">
        <v>-0.5</v>
      </c>
      <c r="BL127" s="446"/>
      <c r="BM127" s="345">
        <f t="shared" si="75"/>
        <v>-0.5</v>
      </c>
      <c r="BN127" s="225"/>
    </row>
    <row r="128" spans="1:66" ht="15" customHeight="1" outlineLevel="1" x14ac:dyDescent="0.25">
      <c r="A128" s="324">
        <v>120</v>
      </c>
      <c r="B128" s="392" t="s">
        <v>177</v>
      </c>
      <c r="C128" s="393"/>
      <c r="D128" s="41">
        <f>SUM(D120:D127)</f>
        <v>-18.149999999999999</v>
      </c>
      <c r="E128" s="41">
        <f>SUM(E120:E127)</f>
        <v>0</v>
      </c>
      <c r="F128" s="41">
        <f>SUM(D128:E128)</f>
        <v>-18.149999999999999</v>
      </c>
      <c r="G128" s="38"/>
      <c r="H128" s="39"/>
      <c r="I128" s="41">
        <f>SUM(I127+I126+I125+I124+I123+I122+I121+I120+I119+I118+I117+I116)</f>
        <v>-18.122</v>
      </c>
      <c r="J128" s="41">
        <f>SUM(J127+J126+J125+J124+J123+J122+J121+J120+J119+J118+J117+J116)</f>
        <v>0.50900000000000001</v>
      </c>
      <c r="K128" s="41">
        <f>SUM(K127+K126+K125+K124+K123+K122+K121+K120+K119+K118+K117+K116)</f>
        <v>-17.613</v>
      </c>
      <c r="L128" s="38"/>
      <c r="M128" s="38"/>
      <c r="N128" s="41" t="e">
        <f>SUM(N116:N127)</f>
        <v>#REF!</v>
      </c>
      <c r="O128" s="41" t="e">
        <f>SUM(O116:O127)</f>
        <v>#REF!</v>
      </c>
      <c r="P128" s="41" t="e">
        <f>SUM(P116:P127)</f>
        <v>#REF!</v>
      </c>
      <c r="Q128" s="39"/>
      <c r="R128" s="172">
        <f>SUM(R116:R127)</f>
        <v>-27.73</v>
      </c>
      <c r="S128" s="172">
        <f>SUM(S116:S127)</f>
        <v>0</v>
      </c>
      <c r="T128" s="172">
        <f>SUM(T116:T127)</f>
        <v>-27.73</v>
      </c>
      <c r="U128" s="41"/>
      <c r="V128" s="409">
        <f>SUM(V116:V127)</f>
        <v>-17.31373</v>
      </c>
      <c r="W128" s="409">
        <f>SUM(W116:W127)</f>
        <v>2.5766799999999996</v>
      </c>
      <c r="X128" s="409">
        <f>SUM(X116:X127)</f>
        <v>-14.73705</v>
      </c>
      <c r="Y128" s="80"/>
      <c r="Z128" s="80">
        <f t="shared" ref="Z128" si="92">SUM(Z116:Z127)</f>
        <v>0</v>
      </c>
      <c r="AA128" s="94"/>
      <c r="AB128" s="250">
        <f>SUM(AB116:AB127)</f>
        <v>-12.000000000000002</v>
      </c>
      <c r="AC128" s="250">
        <f>SUM(AC116:AC127)</f>
        <v>0</v>
      </c>
      <c r="AD128" s="250">
        <f>SUM(AD116:AD127)</f>
        <v>-12.000000000000002</v>
      </c>
      <c r="AE128" s="41"/>
      <c r="AF128" s="80"/>
      <c r="AG128" s="194"/>
      <c r="AH128" s="195"/>
      <c r="AI128" s="285">
        <f>SUM(AI116:AI127)</f>
        <v>-9.1290200000000006</v>
      </c>
      <c r="AJ128" s="285">
        <f>SUM(AJ116:AJ127)</f>
        <v>0.8972</v>
      </c>
      <c r="AK128" s="285">
        <f>AJ128+AI128</f>
        <v>-8.2318200000000008</v>
      </c>
      <c r="AL128" s="81"/>
      <c r="AM128" s="81"/>
      <c r="AN128" s="81"/>
      <c r="AO128" s="81"/>
      <c r="AP128" s="340">
        <f>SUM(AP116:AP127)</f>
        <v>-13.980000000000002</v>
      </c>
      <c r="AQ128" s="340">
        <f>SUM(AQ116:AQ127)</f>
        <v>0</v>
      </c>
      <c r="AR128" s="340">
        <f t="shared" si="53"/>
        <v>-13.980000000000002</v>
      </c>
      <c r="AS128" s="226"/>
      <c r="AT128" s="81"/>
      <c r="AU128" s="81"/>
      <c r="AV128" s="81"/>
      <c r="AW128" s="430">
        <f>SUM(AW116:AW127)</f>
        <v>-4.1864499999999998</v>
      </c>
      <c r="AX128" s="430">
        <f>SUM(AX116:AX127)</f>
        <v>1.8242099999999999</v>
      </c>
      <c r="AY128" s="430">
        <f t="shared" si="74"/>
        <v>-2.3622399999999999</v>
      </c>
      <c r="AZ128" s="81"/>
      <c r="BA128" s="81"/>
      <c r="BB128" s="81"/>
      <c r="BC128" s="81"/>
      <c r="BD128" s="227" t="e">
        <f>SUM(BD116:BD127)</f>
        <v>#REF!</v>
      </c>
      <c r="BE128" s="227" t="e">
        <f>SUM(BE116:BE127)</f>
        <v>#REF!</v>
      </c>
      <c r="BF128" s="227" t="e">
        <f t="shared" si="54"/>
        <v>#REF!</v>
      </c>
      <c r="BG128" s="221" t="e">
        <f t="shared" si="77"/>
        <v>#REF!</v>
      </c>
      <c r="BK128" s="346">
        <f>SUM(BK116:BK127)</f>
        <v>-14.500000000000002</v>
      </c>
      <c r="BL128" s="346">
        <f>SUM(BL116:BL127)</f>
        <v>0</v>
      </c>
      <c r="BM128" s="346">
        <f t="shared" si="75"/>
        <v>-14.500000000000002</v>
      </c>
      <c r="BN128" s="226"/>
    </row>
    <row r="129" spans="1:66" ht="15" customHeight="1" outlineLevel="1" x14ac:dyDescent="0.25">
      <c r="A129" s="324">
        <v>121</v>
      </c>
      <c r="B129" s="387" t="s">
        <v>178</v>
      </c>
      <c r="C129" s="388"/>
      <c r="D129" s="42">
        <f>SUM(D115:D128,D107,D103,D125:D127)</f>
        <v>-139.94</v>
      </c>
      <c r="E129" s="42">
        <f>SUM(E115:E128,E107,E103,E125:E127)</f>
        <v>84</v>
      </c>
      <c r="F129" s="42">
        <f>SUM(D129:E129)</f>
        <v>-55.94</v>
      </c>
      <c r="G129" s="38"/>
      <c r="H129" s="39"/>
      <c r="I129" s="42">
        <f>SUM(I128+I115+I107+I103)</f>
        <v>-121.904</v>
      </c>
      <c r="J129" s="42">
        <f>SUM(J128+J115+J107+J103)</f>
        <v>109.9615</v>
      </c>
      <c r="K129" s="42">
        <f>SUM(K128+K115+K107+K103)</f>
        <v>-11.942500000000003</v>
      </c>
      <c r="L129" s="38"/>
      <c r="M129" s="38"/>
      <c r="N129" s="42" t="e">
        <f>N128+N115+N107+N103</f>
        <v>#REF!</v>
      </c>
      <c r="O129" s="42" t="e">
        <f>O128+O115+O107+O103</f>
        <v>#REF!</v>
      </c>
      <c r="P129" s="42" t="e">
        <f>P128+P115+P107+P103</f>
        <v>#REF!</v>
      </c>
      <c r="Q129" s="39"/>
      <c r="R129" s="92">
        <f>R128+R115+R107+R103</f>
        <v>-98.602000000000004</v>
      </c>
      <c r="S129" s="92">
        <f>S128+S115+S107+S103</f>
        <v>57</v>
      </c>
      <c r="T129" s="92">
        <f>T128+T115+T107+T103</f>
        <v>-41.602000000000004</v>
      </c>
      <c r="U129" s="42"/>
      <c r="V129" s="410">
        <f>V128+V115+V107+V103</f>
        <v>-71.86703</v>
      </c>
      <c r="W129" s="410">
        <f>W128+W115+W107+W103</f>
        <v>51.292280000000005</v>
      </c>
      <c r="X129" s="410">
        <f>X128+X115+X107+X103</f>
        <v>-20.574749999999995</v>
      </c>
      <c r="Y129" s="67"/>
      <c r="Z129" s="67">
        <f>Z128+Z115+Z107+Z103</f>
        <v>0</v>
      </c>
      <c r="AA129" s="39"/>
      <c r="AB129" s="251">
        <f>AB128+AB115+AB107+AB103</f>
        <v>-79.3</v>
      </c>
      <c r="AC129" s="252">
        <f>AC128+AC115+AC107+AC103</f>
        <v>60</v>
      </c>
      <c r="AD129" s="238">
        <f>AD128+AD115+AD107+AD103</f>
        <v>-19.3</v>
      </c>
      <c r="AE129" s="41"/>
      <c r="AF129" s="80"/>
      <c r="AG129" s="194"/>
      <c r="AH129" s="195"/>
      <c r="AI129" s="285">
        <f>AI128+AI115+AI107+AI103</f>
        <v>-75.891729999999995</v>
      </c>
      <c r="AJ129" s="285">
        <f>AJ128+AJ115+AJ107+AJ103</f>
        <v>54.589789999999994</v>
      </c>
      <c r="AK129" s="285">
        <f>AJ129+AI129</f>
        <v>-21.301940000000002</v>
      </c>
      <c r="AL129" s="26"/>
      <c r="AM129" s="26"/>
      <c r="AN129" s="26"/>
      <c r="AO129" s="81"/>
      <c r="AP129" s="418">
        <f>AP128+AP115+AP107+AP103</f>
        <v>-81.28</v>
      </c>
      <c r="AQ129" s="418">
        <f>AQ128+AQ115+AQ107+AQ103</f>
        <v>60.5</v>
      </c>
      <c r="AR129" s="418">
        <f t="shared" si="53"/>
        <v>-20.78</v>
      </c>
      <c r="AS129" s="225"/>
      <c r="AT129" s="20"/>
      <c r="AU129" s="20"/>
      <c r="AV129" s="20"/>
      <c r="AW129" s="430">
        <f>AW128+AW115+AW107+AW103</f>
        <v>-98.839850000000013</v>
      </c>
      <c r="AX129" s="430">
        <f>AX128+AX115+AX107+AX103</f>
        <v>70.36699999999999</v>
      </c>
      <c r="AY129" s="430">
        <f t="shared" si="74"/>
        <v>-28.472850000000022</v>
      </c>
      <c r="AZ129" s="20"/>
      <c r="BA129" s="20"/>
      <c r="BB129" s="20"/>
      <c r="BC129" s="20"/>
      <c r="BD129" s="227" t="e">
        <f>BD128+BD115+BD107+BD103</f>
        <v>#REF!</v>
      </c>
      <c r="BE129" s="227" t="e">
        <f>BE128+BE115+BE107+BE103</f>
        <v>#REF!</v>
      </c>
      <c r="BF129" s="227" t="e">
        <f t="shared" si="54"/>
        <v>#REF!</v>
      </c>
      <c r="BG129" s="221" t="e">
        <f t="shared" si="77"/>
        <v>#REF!</v>
      </c>
      <c r="BK129" s="436">
        <f>BK128+BK115+BK107+BK103</f>
        <v>-81.8</v>
      </c>
      <c r="BL129" s="436">
        <f>BL128+BL115+BL107+BL103</f>
        <v>60.5</v>
      </c>
      <c r="BM129" s="436">
        <f t="shared" si="75"/>
        <v>-21.299999999999997</v>
      </c>
      <c r="BN129" s="225"/>
    </row>
    <row r="130" spans="1:66" ht="15" customHeight="1" x14ac:dyDescent="0.25">
      <c r="A130" s="324">
        <v>122</v>
      </c>
      <c r="B130" s="392"/>
      <c r="C130" s="393"/>
      <c r="D130" s="41"/>
      <c r="E130" s="41"/>
      <c r="F130" s="41"/>
      <c r="G130" s="38"/>
      <c r="H130" s="39"/>
      <c r="I130" s="41"/>
      <c r="J130" s="41"/>
      <c r="K130" s="41"/>
      <c r="L130" s="38"/>
      <c r="M130" s="38"/>
      <c r="N130" s="41"/>
      <c r="O130" s="41"/>
      <c r="P130" s="41"/>
      <c r="Q130" s="39"/>
      <c r="R130" s="91"/>
      <c r="S130" s="91"/>
      <c r="T130" s="91"/>
      <c r="U130" s="41"/>
      <c r="V130" s="414"/>
      <c r="W130" s="414"/>
      <c r="X130" s="414"/>
      <c r="Y130" s="80"/>
      <c r="Z130" s="80"/>
      <c r="AA130" s="39"/>
      <c r="AB130" s="254"/>
      <c r="AC130" s="254"/>
      <c r="AD130" s="254"/>
      <c r="AE130" s="202"/>
      <c r="AF130" s="199"/>
      <c r="AG130" s="194"/>
      <c r="AH130" s="195"/>
      <c r="AI130" s="611"/>
      <c r="AJ130" s="611"/>
      <c r="AK130" s="611"/>
      <c r="AL130" s="20"/>
      <c r="AM130" s="20"/>
      <c r="AN130" s="20"/>
      <c r="AO130" s="20"/>
      <c r="AP130" s="606"/>
      <c r="AQ130" s="606"/>
      <c r="AR130" s="606"/>
      <c r="AS130" s="225"/>
      <c r="AT130" s="20"/>
      <c r="AU130" s="20"/>
      <c r="AV130" s="20"/>
      <c r="AW130" s="597"/>
      <c r="AX130" s="597"/>
      <c r="AY130" s="597"/>
      <c r="AZ130" s="20"/>
      <c r="BA130" s="20"/>
      <c r="BB130" s="20"/>
      <c r="BC130" s="20"/>
      <c r="BD130" s="609"/>
      <c r="BE130" s="609"/>
      <c r="BF130" s="610"/>
      <c r="BG130" s="221">
        <f t="shared" si="77"/>
        <v>0</v>
      </c>
      <c r="BK130" s="596"/>
      <c r="BL130" s="596"/>
      <c r="BM130" s="596"/>
      <c r="BN130" s="225"/>
    </row>
    <row r="131" spans="1:66" ht="15" customHeight="1" x14ac:dyDescent="0.25">
      <c r="A131" s="324">
        <v>123</v>
      </c>
      <c r="B131" s="396" t="str">
        <f>B$4</f>
        <v>en k€</v>
      </c>
      <c r="C131" s="384"/>
      <c r="D131" s="43" t="s">
        <v>8</v>
      </c>
      <c r="E131" s="43" t="s">
        <v>9</v>
      </c>
      <c r="F131" s="43" t="s">
        <v>64</v>
      </c>
      <c r="G131" s="38"/>
      <c r="H131" s="39"/>
      <c r="I131" s="43" t="s">
        <v>8</v>
      </c>
      <c r="J131" s="43" t="s">
        <v>9</v>
      </c>
      <c r="K131" s="44" t="str">
        <f>K$4</f>
        <v>2018a</v>
      </c>
      <c r="L131" s="38"/>
      <c r="M131" s="38"/>
      <c r="N131" s="43" t="s">
        <v>8</v>
      </c>
      <c r="O131" s="43" t="s">
        <v>9</v>
      </c>
      <c r="P131" s="44" t="str">
        <f>P$4</f>
        <v>2019a</v>
      </c>
      <c r="Q131" s="39"/>
      <c r="R131" s="93" t="s">
        <v>8</v>
      </c>
      <c r="S131" s="93" t="s">
        <v>9</v>
      </c>
      <c r="T131" s="93" t="s">
        <v>64</v>
      </c>
      <c r="U131" s="43"/>
      <c r="V131" s="411" t="s">
        <v>8</v>
      </c>
      <c r="W131" s="411" t="s">
        <v>9</v>
      </c>
      <c r="X131" s="412" t="str">
        <f>X$4</f>
        <v>2020a</v>
      </c>
      <c r="Y131" s="80"/>
      <c r="Z131" s="80"/>
      <c r="AA131" s="39"/>
      <c r="AB131" s="235" t="s">
        <v>8</v>
      </c>
      <c r="AC131" s="235" t="s">
        <v>9</v>
      </c>
      <c r="AD131" s="236" t="str">
        <f>AD$4</f>
        <v>résultat</v>
      </c>
      <c r="AE131" s="192"/>
      <c r="AF131" s="199"/>
      <c r="AI131" s="140" t="s">
        <v>8</v>
      </c>
      <c r="AJ131" s="140" t="s">
        <v>9</v>
      </c>
      <c r="AK131" s="95" t="s">
        <v>64</v>
      </c>
      <c r="AL131" s="20"/>
      <c r="AM131" s="20"/>
      <c r="AN131" s="20"/>
      <c r="AO131" s="20"/>
      <c r="AP131" s="422" t="s">
        <v>8</v>
      </c>
      <c r="AQ131" s="422" t="s">
        <v>9</v>
      </c>
      <c r="AR131" s="423" t="str">
        <f>AR$4</f>
        <v>résultat</v>
      </c>
      <c r="AS131" s="225"/>
      <c r="AT131" s="20"/>
      <c r="AU131" s="20"/>
      <c r="AV131" s="20"/>
      <c r="AW131" s="431" t="s">
        <v>8</v>
      </c>
      <c r="AX131" s="431" t="s">
        <v>9</v>
      </c>
      <c r="AY131" s="432" t="s">
        <v>64</v>
      </c>
      <c r="AZ131" s="20"/>
      <c r="BA131" s="20"/>
      <c r="BB131" s="20"/>
      <c r="BC131" s="20"/>
      <c r="BD131" s="233" t="s">
        <v>8</v>
      </c>
      <c r="BE131" s="233" t="s">
        <v>9</v>
      </c>
      <c r="BF131" s="234" t="str">
        <f>BF$4</f>
        <v>résultat</v>
      </c>
      <c r="BG131" s="221"/>
      <c r="BK131" s="440" t="s">
        <v>8</v>
      </c>
      <c r="BL131" s="440" t="s">
        <v>9</v>
      </c>
      <c r="BM131" s="441" t="str">
        <f>BM$4</f>
        <v>résultat</v>
      </c>
      <c r="BN131" s="225"/>
    </row>
    <row r="132" spans="1:66" ht="15" customHeight="1" outlineLevel="2" x14ac:dyDescent="0.25">
      <c r="A132" s="324">
        <v>124</v>
      </c>
      <c r="B132" s="385" t="s">
        <v>47</v>
      </c>
      <c r="C132" s="386" t="s">
        <v>179</v>
      </c>
      <c r="D132" s="37">
        <v>0</v>
      </c>
      <c r="E132" s="37">
        <v>0</v>
      </c>
      <c r="F132" s="37">
        <f t="shared" ref="F132:F138" si="93">SUM(D132:E132)</f>
        <v>0</v>
      </c>
      <c r="G132" s="38"/>
      <c r="H132" s="39"/>
      <c r="I132" s="37">
        <v>-0.2</v>
      </c>
      <c r="J132" s="37">
        <v>0</v>
      </c>
      <c r="K132" s="37">
        <f t="shared" ref="K132:K141" si="94">SUM(I132:J132)</f>
        <v>-0.2</v>
      </c>
      <c r="L132" s="38"/>
      <c r="M132" s="38"/>
      <c r="N132" s="37" t="e">
        <f>-SUMIF(#REF!,$C132,#REF!)/1000</f>
        <v>#REF!</v>
      </c>
      <c r="O132" s="37" t="e">
        <f>SUMIF(#REF!,$C132,#REF!)/1000</f>
        <v>#REF!</v>
      </c>
      <c r="P132" s="37" t="e">
        <f t="shared" ref="P132:P139" si="95">N132+O132</f>
        <v>#REF!</v>
      </c>
      <c r="Q132" s="39"/>
      <c r="R132" s="156">
        <v>0</v>
      </c>
      <c r="S132" s="156">
        <v>0</v>
      </c>
      <c r="T132" s="156">
        <f t="shared" ref="T132:T139" si="96">R132+S132</f>
        <v>0</v>
      </c>
      <c r="U132" s="37"/>
      <c r="V132" s="406">
        <v>0</v>
      </c>
      <c r="W132" s="406">
        <v>0</v>
      </c>
      <c r="X132" s="406">
        <f t="shared" ref="X132:X139" si="97">SUM(V132:W132)</f>
        <v>0</v>
      </c>
      <c r="Y132" s="46"/>
      <c r="Z132" s="46"/>
      <c r="AA132" s="39"/>
      <c r="AB132" s="247"/>
      <c r="AC132" s="247"/>
      <c r="AD132" s="247">
        <f t="shared" ref="AD132:AD139" si="98">AB132+AC132</f>
        <v>0</v>
      </c>
      <c r="AE132" s="193"/>
      <c r="AF132" s="199"/>
      <c r="AG132" s="194"/>
      <c r="AH132" s="195"/>
      <c r="AI132" s="148">
        <v>0</v>
      </c>
      <c r="AJ132" s="148">
        <v>0</v>
      </c>
      <c r="AK132" s="148">
        <v>0</v>
      </c>
      <c r="AL132" s="20"/>
      <c r="AM132" s="20"/>
      <c r="AN132" s="20"/>
      <c r="AO132" s="20"/>
      <c r="AP132" s="426"/>
      <c r="AQ132" s="426"/>
      <c r="AR132" s="339">
        <f t="shared" si="53"/>
        <v>0</v>
      </c>
      <c r="AS132" s="225"/>
      <c r="AT132" s="20"/>
      <c r="AU132" s="20" t="s">
        <v>514</v>
      </c>
      <c r="AV132" s="20"/>
      <c r="AW132" s="332">
        <v>0</v>
      </c>
      <c r="AX132" s="332">
        <v>0</v>
      </c>
      <c r="AY132" s="332">
        <f t="shared" ref="AY132:AY153" si="99">AX132+AW132</f>
        <v>0</v>
      </c>
      <c r="AZ132" s="20"/>
      <c r="BA132" s="20"/>
      <c r="BB132" s="20"/>
      <c r="BC132" s="20"/>
      <c r="BD132" s="221" t="e">
        <f>-SUMIF(#REF!,'pôles &amp; actions'!$C132,#REF!)/1000</f>
        <v>#REF!</v>
      </c>
      <c r="BE132" s="221" t="e">
        <f>SUMIF(#REF!,'pôles &amp; actions'!$C132,#REF!)/1000</f>
        <v>#REF!</v>
      </c>
      <c r="BF132" s="221" t="e">
        <f t="shared" si="54"/>
        <v>#REF!</v>
      </c>
      <c r="BG132" s="221" t="e">
        <f t="shared" si="77"/>
        <v>#REF!</v>
      </c>
      <c r="BK132" s="447"/>
      <c r="BL132" s="447"/>
      <c r="BM132" s="345">
        <f t="shared" ref="BM132:BM153" si="100">BK132+BL132</f>
        <v>0</v>
      </c>
      <c r="BN132" s="225"/>
    </row>
    <row r="133" spans="1:66" ht="15" customHeight="1" outlineLevel="2" x14ac:dyDescent="0.25">
      <c r="A133" s="324">
        <v>125</v>
      </c>
      <c r="B133" s="385" t="s">
        <v>39</v>
      </c>
      <c r="C133" s="386" t="s">
        <v>180</v>
      </c>
      <c r="D133" s="37">
        <v>0</v>
      </c>
      <c r="E133" s="37">
        <v>0</v>
      </c>
      <c r="F133" s="37">
        <f t="shared" si="93"/>
        <v>0</v>
      </c>
      <c r="G133" s="38"/>
      <c r="H133" s="39"/>
      <c r="I133" s="37">
        <v>-3.5</v>
      </c>
      <c r="J133" s="37">
        <v>1.7</v>
      </c>
      <c r="K133" s="37">
        <f t="shared" si="94"/>
        <v>-1.8</v>
      </c>
      <c r="L133" s="38"/>
      <c r="M133" s="38"/>
      <c r="N133" s="37" t="e">
        <f>-SUMIF(#REF!,$C133,#REF!)/1000</f>
        <v>#REF!</v>
      </c>
      <c r="O133" s="37" t="e">
        <f>SUMIF(#REF!,$C133,#REF!)/1000</f>
        <v>#REF!</v>
      </c>
      <c r="P133" s="37" t="e">
        <f t="shared" si="95"/>
        <v>#REF!</v>
      </c>
      <c r="Q133" s="39"/>
      <c r="R133" s="157">
        <v>0</v>
      </c>
      <c r="S133" s="157">
        <v>0</v>
      </c>
      <c r="T133" s="157">
        <f t="shared" si="96"/>
        <v>0</v>
      </c>
      <c r="U133" s="37"/>
      <c r="V133" s="407">
        <v>0</v>
      </c>
      <c r="W133" s="407">
        <v>0</v>
      </c>
      <c r="X133" s="407">
        <f t="shared" si="97"/>
        <v>0</v>
      </c>
      <c r="Y133" s="46"/>
      <c r="Z133" s="46"/>
      <c r="AA133" s="39"/>
      <c r="AB133" s="248">
        <v>-0.3</v>
      </c>
      <c r="AC133" s="248"/>
      <c r="AD133" s="248">
        <f t="shared" si="98"/>
        <v>-0.3</v>
      </c>
      <c r="AE133" s="193"/>
      <c r="AF133" s="199"/>
      <c r="AG133" s="194"/>
      <c r="AH133" s="195"/>
      <c r="AI133" s="148">
        <v>-0.17532</v>
      </c>
      <c r="AJ133" s="148">
        <v>0</v>
      </c>
      <c r="AK133" s="148">
        <v>-0.17532</v>
      </c>
      <c r="AL133" s="20"/>
      <c r="AM133" s="20"/>
      <c r="AN133" s="20"/>
      <c r="AO133" s="20"/>
      <c r="AP133" s="427"/>
      <c r="AQ133" s="427"/>
      <c r="AR133" s="339">
        <f t="shared" si="53"/>
        <v>0</v>
      </c>
      <c r="AS133" s="225"/>
      <c r="AT133" s="20"/>
      <c r="AU133" s="20"/>
      <c r="AV133" s="20"/>
      <c r="AW133" s="332">
        <v>-0.21936000000000003</v>
      </c>
      <c r="AX133" s="332">
        <v>0</v>
      </c>
      <c r="AY133" s="332">
        <f t="shared" si="99"/>
        <v>-0.21936000000000003</v>
      </c>
      <c r="AZ133" s="20"/>
      <c r="BA133" s="20"/>
      <c r="BB133" s="20"/>
      <c r="BC133" s="20"/>
      <c r="BD133" s="221" t="e">
        <f>-SUMIF(#REF!,'pôles &amp; actions'!$C133,#REF!)/1000</f>
        <v>#REF!</v>
      </c>
      <c r="BE133" s="221" t="e">
        <f>SUMIF(#REF!,'pôles &amp; actions'!$C133,#REF!)/1000</f>
        <v>#REF!</v>
      </c>
      <c r="BF133" s="221" t="e">
        <f t="shared" si="54"/>
        <v>#REF!</v>
      </c>
      <c r="BG133" s="221" t="e">
        <f t="shared" si="77"/>
        <v>#REF!</v>
      </c>
      <c r="BK133" s="446"/>
      <c r="BL133" s="446"/>
      <c r="BM133" s="345">
        <f t="shared" si="100"/>
        <v>0</v>
      </c>
      <c r="BN133" s="225"/>
    </row>
    <row r="134" spans="1:66" ht="15" hidden="1" customHeight="1" outlineLevel="3" x14ac:dyDescent="0.25">
      <c r="A134" s="324">
        <v>125</v>
      </c>
      <c r="B134" s="385" t="s">
        <v>43</v>
      </c>
      <c r="C134" s="386" t="s">
        <v>181</v>
      </c>
      <c r="D134" s="37">
        <v>0</v>
      </c>
      <c r="E134" s="37">
        <v>0</v>
      </c>
      <c r="F134" s="37">
        <f t="shared" si="93"/>
        <v>0</v>
      </c>
      <c r="G134" s="38"/>
      <c r="H134" s="39"/>
      <c r="I134" s="37">
        <v>0</v>
      </c>
      <c r="J134" s="37">
        <v>0</v>
      </c>
      <c r="K134" s="37">
        <f t="shared" si="94"/>
        <v>0</v>
      </c>
      <c r="L134" s="38"/>
      <c r="M134" s="38"/>
      <c r="N134" s="37" t="e">
        <f>-SUMIF(#REF!,$C134,#REF!)/1000</f>
        <v>#REF!</v>
      </c>
      <c r="O134" s="37" t="e">
        <f>SUMIF(#REF!,$C134,#REF!)/1000</f>
        <v>#REF!</v>
      </c>
      <c r="P134" s="37" t="e">
        <f t="shared" si="95"/>
        <v>#REF!</v>
      </c>
      <c r="Q134" s="39"/>
      <c r="R134" s="157">
        <v>0</v>
      </c>
      <c r="S134" s="157">
        <v>0</v>
      </c>
      <c r="T134" s="157">
        <f t="shared" si="96"/>
        <v>0</v>
      </c>
      <c r="U134" s="37"/>
      <c r="V134" s="407">
        <v>0</v>
      </c>
      <c r="W134" s="407">
        <v>0</v>
      </c>
      <c r="X134" s="407">
        <f t="shared" si="97"/>
        <v>0</v>
      </c>
      <c r="Y134" s="46"/>
      <c r="Z134" s="46"/>
      <c r="AA134" s="127"/>
      <c r="AB134" s="248"/>
      <c r="AC134" s="248"/>
      <c r="AD134" s="248">
        <f t="shared" si="98"/>
        <v>0</v>
      </c>
      <c r="AE134" s="193"/>
      <c r="AF134" s="199"/>
      <c r="AG134" s="194"/>
      <c r="AH134" s="195"/>
      <c r="AI134" s="148">
        <v>0</v>
      </c>
      <c r="AJ134" s="148">
        <v>0</v>
      </c>
      <c r="AK134" s="148">
        <v>0</v>
      </c>
      <c r="AL134" s="20"/>
      <c r="AM134" s="20"/>
      <c r="AN134" s="20"/>
      <c r="AO134" s="20"/>
      <c r="AP134" s="427"/>
      <c r="AQ134" s="427"/>
      <c r="AR134" s="339">
        <f t="shared" si="53"/>
        <v>0</v>
      </c>
      <c r="AS134" s="225"/>
      <c r="AT134" s="20"/>
      <c r="AU134" s="20"/>
      <c r="AV134" s="20"/>
      <c r="AW134" s="332">
        <v>0</v>
      </c>
      <c r="AX134" s="332">
        <v>0</v>
      </c>
      <c r="AY134" s="332">
        <f t="shared" si="99"/>
        <v>0</v>
      </c>
      <c r="AZ134" s="20"/>
      <c r="BA134" s="20"/>
      <c r="BB134" s="20"/>
      <c r="BC134" s="20"/>
      <c r="BD134" s="221" t="e">
        <f>-SUMIF(#REF!,'pôles &amp; actions'!$C134,#REF!)/1000</f>
        <v>#REF!</v>
      </c>
      <c r="BE134" s="221" t="e">
        <f>SUMIF(#REF!,'pôles &amp; actions'!$C134,#REF!)/1000</f>
        <v>#REF!</v>
      </c>
      <c r="BF134" s="221" t="e">
        <f t="shared" si="54"/>
        <v>#REF!</v>
      </c>
      <c r="BG134" s="221" t="e">
        <f t="shared" si="77"/>
        <v>#REF!</v>
      </c>
      <c r="BK134" s="446"/>
      <c r="BL134" s="446"/>
      <c r="BM134" s="345">
        <f t="shared" si="100"/>
        <v>0</v>
      </c>
      <c r="BN134" s="225"/>
    </row>
    <row r="135" spans="1:66" ht="15" customHeight="1" outlineLevel="2" collapsed="1" x14ac:dyDescent="0.25">
      <c r="A135" s="324">
        <v>126</v>
      </c>
      <c r="B135" s="385" t="s">
        <v>182</v>
      </c>
      <c r="C135" s="386" t="s">
        <v>183</v>
      </c>
      <c r="D135" s="37">
        <v>0</v>
      </c>
      <c r="E135" s="37">
        <v>0</v>
      </c>
      <c r="F135" s="37">
        <f t="shared" si="93"/>
        <v>0</v>
      </c>
      <c r="G135" s="38"/>
      <c r="H135" s="39"/>
      <c r="I135" s="37">
        <v>0</v>
      </c>
      <c r="J135" s="37">
        <v>0</v>
      </c>
      <c r="K135" s="37">
        <f t="shared" si="94"/>
        <v>0</v>
      </c>
      <c r="L135" s="38"/>
      <c r="M135" s="38"/>
      <c r="N135" s="37" t="e">
        <f>-SUMIF(#REF!,$C135,#REF!)/1000</f>
        <v>#REF!</v>
      </c>
      <c r="O135" s="37" t="e">
        <f>SUMIF(#REF!,$C135,#REF!)/1000</f>
        <v>#REF!</v>
      </c>
      <c r="P135" s="37" t="e">
        <f t="shared" si="95"/>
        <v>#REF!</v>
      </c>
      <c r="Q135" s="39"/>
      <c r="R135" s="157">
        <v>0</v>
      </c>
      <c r="S135" s="157">
        <v>0</v>
      </c>
      <c r="T135" s="157">
        <f t="shared" si="96"/>
        <v>0</v>
      </c>
      <c r="U135" s="37"/>
      <c r="V135" s="407">
        <v>0</v>
      </c>
      <c r="W135" s="407">
        <v>0</v>
      </c>
      <c r="X135" s="407">
        <f t="shared" si="97"/>
        <v>0</v>
      </c>
      <c r="Y135" s="46"/>
      <c r="Z135" s="46"/>
      <c r="AA135" s="39"/>
      <c r="AB135" s="248"/>
      <c r="AC135" s="248">
        <v>1</v>
      </c>
      <c r="AD135" s="248">
        <f t="shared" si="98"/>
        <v>1</v>
      </c>
      <c r="AE135" s="193"/>
      <c r="AF135" s="199"/>
      <c r="AG135" s="194"/>
      <c r="AH135" s="195"/>
      <c r="AI135" s="148">
        <v>0</v>
      </c>
      <c r="AJ135" s="148">
        <v>0</v>
      </c>
      <c r="AK135" s="148">
        <v>0</v>
      </c>
      <c r="AL135" s="20"/>
      <c r="AM135" s="20"/>
      <c r="AN135" s="20"/>
      <c r="AO135" s="20"/>
      <c r="AP135" s="427"/>
      <c r="AQ135" s="427">
        <v>2</v>
      </c>
      <c r="AR135" s="339">
        <f t="shared" si="53"/>
        <v>2</v>
      </c>
      <c r="AS135" s="225"/>
      <c r="AT135" s="20"/>
      <c r="AU135" s="20" t="s">
        <v>516</v>
      </c>
      <c r="AV135" s="20"/>
      <c r="AW135" s="332">
        <v>0</v>
      </c>
      <c r="AX135" s="332">
        <v>0</v>
      </c>
      <c r="AY135" s="332">
        <f t="shared" si="99"/>
        <v>0</v>
      </c>
      <c r="AZ135" s="20"/>
      <c r="BA135" s="20"/>
      <c r="BB135" s="20"/>
      <c r="BC135" s="20"/>
      <c r="BD135" s="221" t="e">
        <f>-SUMIF(#REF!,'pôles &amp; actions'!$C135,#REF!)/1000</f>
        <v>#REF!</v>
      </c>
      <c r="BE135" s="221" t="e">
        <f>SUMIF(#REF!,'pôles &amp; actions'!$C135,#REF!)/1000</f>
        <v>#REF!</v>
      </c>
      <c r="BF135" s="221" t="e">
        <f t="shared" si="54"/>
        <v>#REF!</v>
      </c>
      <c r="BG135" s="221" t="e">
        <f t="shared" ref="BG135:BG166" si="101">AR135-BF135</f>
        <v>#REF!</v>
      </c>
      <c r="BK135" s="446"/>
      <c r="BL135" s="446"/>
      <c r="BM135" s="345">
        <f t="shared" si="100"/>
        <v>0</v>
      </c>
      <c r="BN135" s="225"/>
    </row>
    <row r="136" spans="1:66" ht="15" customHeight="1" outlineLevel="2" x14ac:dyDescent="0.25">
      <c r="A136" s="324">
        <v>127</v>
      </c>
      <c r="B136" s="385" t="s">
        <v>184</v>
      </c>
      <c r="C136" s="386" t="s">
        <v>185</v>
      </c>
      <c r="D136" s="37">
        <v>0</v>
      </c>
      <c r="E136" s="37">
        <v>8</v>
      </c>
      <c r="F136" s="37">
        <f t="shared" si="93"/>
        <v>8</v>
      </c>
      <c r="G136" s="38"/>
      <c r="H136" s="39"/>
      <c r="I136" s="37">
        <v>0</v>
      </c>
      <c r="J136" s="37">
        <v>7.85</v>
      </c>
      <c r="K136" s="37">
        <f t="shared" si="94"/>
        <v>7.85</v>
      </c>
      <c r="L136" s="38"/>
      <c r="M136" s="38"/>
      <c r="N136" s="37" t="e">
        <f>-SUMIF(#REF!,$C136,#REF!)/1000</f>
        <v>#REF!</v>
      </c>
      <c r="O136" s="37" t="e">
        <f>SUMIF(#REF!,$C136,#REF!)/1000</f>
        <v>#REF!</v>
      </c>
      <c r="P136" s="37" t="e">
        <f t="shared" si="95"/>
        <v>#REF!</v>
      </c>
      <c r="Q136" s="39"/>
      <c r="R136" s="157">
        <v>0</v>
      </c>
      <c r="S136" s="157">
        <v>7</v>
      </c>
      <c r="T136" s="157">
        <f t="shared" si="96"/>
        <v>7</v>
      </c>
      <c r="U136" s="37"/>
      <c r="V136" s="407">
        <v>-0.12611</v>
      </c>
      <c r="W136" s="407">
        <v>2.69923</v>
      </c>
      <c r="X136" s="407">
        <f t="shared" si="97"/>
        <v>2.5731199999999999</v>
      </c>
      <c r="Y136" s="46"/>
      <c r="Z136" s="46"/>
      <c r="AA136" s="39"/>
      <c r="AB136" s="248"/>
      <c r="AC136" s="248"/>
      <c r="AD136" s="248">
        <f t="shared" si="98"/>
        <v>0</v>
      </c>
      <c r="AE136" s="193"/>
      <c r="AF136" s="199"/>
      <c r="AG136" s="194"/>
      <c r="AH136" s="195"/>
      <c r="AI136" s="148">
        <v>-0.21673000000000001</v>
      </c>
      <c r="AJ136" s="148">
        <v>1.3326500000000001</v>
      </c>
      <c r="AK136" s="148">
        <v>1.11592</v>
      </c>
      <c r="AL136" s="20"/>
      <c r="AM136" s="20"/>
      <c r="AN136" s="20"/>
      <c r="AO136" s="20"/>
      <c r="AP136" s="427"/>
      <c r="AQ136" s="427"/>
      <c r="AR136" s="339">
        <f t="shared" si="53"/>
        <v>0</v>
      </c>
      <c r="AS136" s="225"/>
      <c r="AT136" s="20"/>
      <c r="AU136" s="20" t="s">
        <v>515</v>
      </c>
      <c r="AV136" s="20"/>
      <c r="AW136" s="332">
        <v>-8.7620000000000003E-2</v>
      </c>
      <c r="AX136" s="332">
        <v>7.4856600000000002</v>
      </c>
      <c r="AY136" s="332">
        <f t="shared" si="99"/>
        <v>7.3980399999999999</v>
      </c>
      <c r="AZ136" s="20"/>
      <c r="BA136" s="20"/>
      <c r="BB136" s="20"/>
      <c r="BC136" s="20"/>
      <c r="BD136" s="221" t="e">
        <f>-SUMIF(#REF!,'pôles &amp; actions'!$C136,#REF!)/1000</f>
        <v>#REF!</v>
      </c>
      <c r="BE136" s="221" t="e">
        <f>SUMIF(#REF!,'pôles &amp; actions'!$C136,#REF!)/1000</f>
        <v>#REF!</v>
      </c>
      <c r="BF136" s="221" t="e">
        <f t="shared" si="54"/>
        <v>#REF!</v>
      </c>
      <c r="BG136" s="221" t="e">
        <f t="shared" si="101"/>
        <v>#REF!</v>
      </c>
      <c r="BK136" s="446"/>
      <c r="BL136" s="446">
        <v>2</v>
      </c>
      <c r="BM136" s="345">
        <f t="shared" si="100"/>
        <v>2</v>
      </c>
      <c r="BN136" s="225"/>
    </row>
    <row r="137" spans="1:66" ht="15" customHeight="1" outlineLevel="2" x14ac:dyDescent="0.25">
      <c r="A137" s="324">
        <v>128</v>
      </c>
      <c r="B137" s="385" t="s">
        <v>57</v>
      </c>
      <c r="C137" s="386" t="s">
        <v>186</v>
      </c>
      <c r="D137" s="37">
        <v>0</v>
      </c>
      <c r="E137" s="37">
        <v>0</v>
      </c>
      <c r="F137" s="37">
        <f t="shared" si="93"/>
        <v>0</v>
      </c>
      <c r="G137" s="38"/>
      <c r="H137" s="39"/>
      <c r="I137" s="37">
        <v>-1.5315000000000001</v>
      </c>
      <c r="J137" s="37">
        <v>6.6159999999999997</v>
      </c>
      <c r="K137" s="37">
        <f t="shared" si="94"/>
        <v>5.0844999999999994</v>
      </c>
      <c r="L137" s="38"/>
      <c r="M137" s="38"/>
      <c r="N137" s="37" t="e">
        <f>-SUMIF(#REF!,$C137,#REF!)/1000</f>
        <v>#REF!</v>
      </c>
      <c r="O137" s="37" t="e">
        <f>SUMIF(#REF!,$C137,#REF!)/1000</f>
        <v>#REF!</v>
      </c>
      <c r="P137" s="37" t="e">
        <f t="shared" si="95"/>
        <v>#REF!</v>
      </c>
      <c r="Q137" s="39"/>
      <c r="R137" s="157">
        <v>0</v>
      </c>
      <c r="S137" s="157">
        <v>0</v>
      </c>
      <c r="T137" s="157">
        <f t="shared" si="96"/>
        <v>0</v>
      </c>
      <c r="U137" s="37"/>
      <c r="V137" s="407">
        <v>-10.811719999999999</v>
      </c>
      <c r="W137" s="407">
        <v>0.69361000000000006</v>
      </c>
      <c r="X137" s="407">
        <f t="shared" si="97"/>
        <v>-10.11811</v>
      </c>
      <c r="Y137" s="46"/>
      <c r="Z137" s="46"/>
      <c r="AA137" s="39"/>
      <c r="AB137" s="248"/>
      <c r="AC137" s="248"/>
      <c r="AD137" s="248">
        <f t="shared" si="98"/>
        <v>0</v>
      </c>
      <c r="AE137" s="193"/>
      <c r="AF137" s="199"/>
      <c r="AG137" s="194"/>
      <c r="AH137" s="195"/>
      <c r="AI137" s="148">
        <v>-1.7360600000000002</v>
      </c>
      <c r="AJ137" s="148">
        <v>0</v>
      </c>
      <c r="AK137" s="148">
        <v>-1.7360600000000002</v>
      </c>
      <c r="AL137" s="20"/>
      <c r="AM137" s="20"/>
      <c r="AN137" s="20"/>
      <c r="AO137" s="20"/>
      <c r="AP137" s="427"/>
      <c r="AQ137" s="427"/>
      <c r="AR137" s="339">
        <f t="shared" si="53"/>
        <v>0</v>
      </c>
      <c r="AS137" s="225"/>
      <c r="AT137" s="20"/>
      <c r="AU137" s="20"/>
      <c r="AV137" s="20"/>
      <c r="AW137" s="332">
        <v>-0.73880999999999997</v>
      </c>
      <c r="AX137" s="332">
        <v>21.640709999999999</v>
      </c>
      <c r="AY137" s="332">
        <f t="shared" si="99"/>
        <v>20.901899999999998</v>
      </c>
      <c r="AZ137" s="20"/>
      <c r="BA137" s="20"/>
      <c r="BB137" s="20"/>
      <c r="BC137" s="20"/>
      <c r="BD137" s="221" t="e">
        <f>-SUMIF(#REF!,'pôles &amp; actions'!$C137,#REF!)/1000</f>
        <v>#REF!</v>
      </c>
      <c r="BE137" s="221" t="e">
        <f>SUMIF(#REF!,'pôles &amp; actions'!$C137,#REF!)/1000</f>
        <v>#REF!</v>
      </c>
      <c r="BF137" s="221" t="e">
        <f t="shared" si="54"/>
        <v>#REF!</v>
      </c>
      <c r="BG137" s="221" t="e">
        <f t="shared" si="101"/>
        <v>#REF!</v>
      </c>
      <c r="BK137" s="446"/>
      <c r="BL137" s="446"/>
      <c r="BM137" s="345">
        <f t="shared" si="100"/>
        <v>0</v>
      </c>
      <c r="BN137" s="225"/>
    </row>
    <row r="138" spans="1:66" ht="15" customHeight="1" outlineLevel="2" x14ac:dyDescent="0.25">
      <c r="A138" s="324">
        <v>129</v>
      </c>
      <c r="B138" s="385" t="s">
        <v>187</v>
      </c>
      <c r="C138" s="386" t="s">
        <v>188</v>
      </c>
      <c r="D138" s="37">
        <v>-2</v>
      </c>
      <c r="E138" s="37">
        <v>0</v>
      </c>
      <c r="F138" s="37">
        <f t="shared" si="93"/>
        <v>-2</v>
      </c>
      <c r="G138" s="38"/>
      <c r="H138" s="39"/>
      <c r="I138" s="37">
        <v>-5.1340000000000003</v>
      </c>
      <c r="J138" s="37">
        <v>0</v>
      </c>
      <c r="K138" s="37">
        <f t="shared" si="94"/>
        <v>-5.1340000000000003</v>
      </c>
      <c r="L138" s="38"/>
      <c r="M138" s="38"/>
      <c r="N138" s="37" t="e">
        <f>-SUMIF(#REF!,$C138,#REF!)/1000</f>
        <v>#REF!</v>
      </c>
      <c r="O138" s="37" t="e">
        <f>SUMIF(#REF!,$C138,#REF!)/1000</f>
        <v>#REF!</v>
      </c>
      <c r="P138" s="37" t="e">
        <f t="shared" si="95"/>
        <v>#REF!</v>
      </c>
      <c r="Q138" s="39"/>
      <c r="R138" s="157">
        <v>-2</v>
      </c>
      <c r="S138" s="157">
        <v>0</v>
      </c>
      <c r="T138" s="157">
        <f t="shared" si="96"/>
        <v>-2</v>
      </c>
      <c r="U138" s="37"/>
      <c r="V138" s="407">
        <v>-0.67727999999999999</v>
      </c>
      <c r="W138" s="407">
        <v>0</v>
      </c>
      <c r="X138" s="407">
        <f t="shared" si="97"/>
        <v>-0.67727999999999999</v>
      </c>
      <c r="Y138" s="46"/>
      <c r="Z138" s="46"/>
      <c r="AA138" s="39"/>
      <c r="AB138" s="248">
        <v>-0.7</v>
      </c>
      <c r="AC138" s="248"/>
      <c r="AD138" s="248">
        <f t="shared" si="98"/>
        <v>-0.7</v>
      </c>
      <c r="AE138" s="193"/>
      <c r="AF138" s="199"/>
      <c r="AG138" s="194"/>
      <c r="AH138" s="195"/>
      <c r="AI138" s="148">
        <v>-3.7499999999999999E-2</v>
      </c>
      <c r="AJ138" s="148">
        <v>0</v>
      </c>
      <c r="AK138" s="148">
        <v>-3.7499999999999999E-2</v>
      </c>
      <c r="AL138" s="20"/>
      <c r="AM138" s="20"/>
      <c r="AN138" s="20"/>
      <c r="AO138" s="20"/>
      <c r="AP138" s="427"/>
      <c r="AQ138" s="427"/>
      <c r="AR138" s="339">
        <f t="shared" si="53"/>
        <v>0</v>
      </c>
      <c r="AS138" s="225"/>
      <c r="AT138" s="20"/>
      <c r="AU138" s="20"/>
      <c r="AV138" s="20"/>
      <c r="AW138" s="332">
        <v>-0.32600000000000001</v>
      </c>
      <c r="AX138" s="332">
        <v>0</v>
      </c>
      <c r="AY138" s="332">
        <f t="shared" si="99"/>
        <v>-0.32600000000000001</v>
      </c>
      <c r="AZ138" s="20"/>
      <c r="BA138" s="20"/>
      <c r="BB138" s="20"/>
      <c r="BC138" s="20"/>
      <c r="BD138" s="221" t="e">
        <f>-SUMIF(#REF!,'pôles &amp; actions'!$C138,#REF!)/1000</f>
        <v>#REF!</v>
      </c>
      <c r="BE138" s="221" t="e">
        <f>SUMIF(#REF!,'pôles &amp; actions'!$C138,#REF!)/1000</f>
        <v>#REF!</v>
      </c>
      <c r="BF138" s="221" t="e">
        <f t="shared" si="54"/>
        <v>#REF!</v>
      </c>
      <c r="BG138" s="221" t="e">
        <f t="shared" si="101"/>
        <v>#REF!</v>
      </c>
      <c r="BK138" s="446"/>
      <c r="BL138" s="446"/>
      <c r="BM138" s="345">
        <f t="shared" si="100"/>
        <v>0</v>
      </c>
      <c r="BN138" s="225"/>
    </row>
    <row r="139" spans="1:66" ht="15" customHeight="1" outlineLevel="2" x14ac:dyDescent="0.25">
      <c r="A139" s="324">
        <v>130</v>
      </c>
      <c r="B139" s="385" t="s">
        <v>45</v>
      </c>
      <c r="C139" s="386" t="s">
        <v>189</v>
      </c>
      <c r="D139" s="37"/>
      <c r="E139" s="37"/>
      <c r="F139" s="37"/>
      <c r="G139" s="38"/>
      <c r="H139" s="39"/>
      <c r="I139" s="37">
        <v>0</v>
      </c>
      <c r="J139" s="37">
        <v>0</v>
      </c>
      <c r="K139" s="37">
        <f t="shared" si="94"/>
        <v>0</v>
      </c>
      <c r="L139" s="38"/>
      <c r="M139" s="38"/>
      <c r="N139" s="37" t="e">
        <f>-SUMIF(#REF!,$C139,#REF!)/1000</f>
        <v>#REF!</v>
      </c>
      <c r="O139" s="37" t="e">
        <f>SUMIF(#REF!,$C139,#REF!)/1000</f>
        <v>#REF!</v>
      </c>
      <c r="P139" s="37" t="e">
        <f t="shared" si="95"/>
        <v>#REF!</v>
      </c>
      <c r="Q139" s="39"/>
      <c r="R139" s="157">
        <v>0</v>
      </c>
      <c r="S139" s="157">
        <v>0</v>
      </c>
      <c r="T139" s="157">
        <f t="shared" si="96"/>
        <v>0</v>
      </c>
      <c r="U139" s="37"/>
      <c r="V139" s="407">
        <v>-2.2499999999999999E-2</v>
      </c>
      <c r="W139" s="407">
        <v>0</v>
      </c>
      <c r="X139" s="407">
        <f t="shared" si="97"/>
        <v>-2.2499999999999999E-2</v>
      </c>
      <c r="Y139" s="46"/>
      <c r="Z139" s="46"/>
      <c r="AA139" s="39"/>
      <c r="AB139" s="248"/>
      <c r="AC139" s="248"/>
      <c r="AD139" s="248">
        <f t="shared" si="98"/>
        <v>0</v>
      </c>
      <c r="AE139" s="193"/>
      <c r="AF139" s="199"/>
      <c r="AG139" s="194"/>
      <c r="AH139" s="195"/>
      <c r="AI139" s="148">
        <v>-2.2499999999999999E-2</v>
      </c>
      <c r="AJ139" s="148">
        <v>0</v>
      </c>
      <c r="AK139" s="148">
        <v>-2.2499999999999999E-2</v>
      </c>
      <c r="AL139" s="20"/>
      <c r="AM139" s="20"/>
      <c r="AN139" s="20"/>
      <c r="AO139" s="20"/>
      <c r="AP139" s="427"/>
      <c r="AQ139" s="427"/>
      <c r="AR139" s="339">
        <f t="shared" si="53"/>
        <v>0</v>
      </c>
      <c r="AS139" s="225"/>
      <c r="AT139" s="20"/>
      <c r="AU139" s="20"/>
      <c r="AV139" s="20"/>
      <c r="AW139" s="332">
        <v>-9.3100000000000006E-3</v>
      </c>
      <c r="AX139" s="332">
        <v>0</v>
      </c>
      <c r="AY139" s="332">
        <f t="shared" si="99"/>
        <v>-9.3100000000000006E-3</v>
      </c>
      <c r="AZ139" s="20"/>
      <c r="BA139" s="20"/>
      <c r="BB139" s="20"/>
      <c r="BC139" s="20"/>
      <c r="BD139" s="221" t="e">
        <f>-SUMIF(#REF!,'pôles &amp; actions'!$C139,#REF!)/1000</f>
        <v>#REF!</v>
      </c>
      <c r="BE139" s="221" t="e">
        <f>SUMIF(#REF!,'pôles &amp; actions'!$C139,#REF!)/1000</f>
        <v>#REF!</v>
      </c>
      <c r="BF139" s="221" t="e">
        <f t="shared" si="54"/>
        <v>#REF!</v>
      </c>
      <c r="BG139" s="221" t="e">
        <f t="shared" si="101"/>
        <v>#REF!</v>
      </c>
      <c r="BK139" s="446"/>
      <c r="BL139" s="446"/>
      <c r="BM139" s="345">
        <f t="shared" si="100"/>
        <v>0</v>
      </c>
      <c r="BN139" s="225"/>
    </row>
    <row r="140" spans="1:66" ht="15" customHeight="1" outlineLevel="1" x14ac:dyDescent="0.25">
      <c r="A140" s="324">
        <v>131</v>
      </c>
      <c r="B140" s="392" t="s">
        <v>190</v>
      </c>
      <c r="C140" s="393"/>
      <c r="D140" s="41">
        <f>SUM(D132:D138)</f>
        <v>-2</v>
      </c>
      <c r="E140" s="41">
        <f>SUM(E132:E138)</f>
        <v>8</v>
      </c>
      <c r="F140" s="41">
        <f t="shared" ref="F140:F152" si="102">SUM(D140:E140)</f>
        <v>6</v>
      </c>
      <c r="G140" s="38"/>
      <c r="H140" s="39"/>
      <c r="I140" s="41">
        <f>SUM(I132:I139)</f>
        <v>-10.365500000000001</v>
      </c>
      <c r="J140" s="41">
        <f>SUM(J132:J139)</f>
        <v>16.165999999999997</v>
      </c>
      <c r="K140" s="41">
        <f t="shared" si="94"/>
        <v>5.800499999999996</v>
      </c>
      <c r="L140" s="38"/>
      <c r="M140" s="38"/>
      <c r="N140" s="41" t="e">
        <f>SUM(N132:N139)</f>
        <v>#REF!</v>
      </c>
      <c r="O140" s="41" t="e">
        <f>SUM(O132:O139)</f>
        <v>#REF!</v>
      </c>
      <c r="P140" s="41" t="e">
        <f>SUM(P132:P139)</f>
        <v>#REF!</v>
      </c>
      <c r="Q140" s="39"/>
      <c r="R140" s="158">
        <f>SUM(R132:R139)</f>
        <v>-2</v>
      </c>
      <c r="S140" s="158">
        <f>SUM(S132:S139)</f>
        <v>7</v>
      </c>
      <c r="T140" s="158">
        <f>SUM(T132:T139)</f>
        <v>5</v>
      </c>
      <c r="U140" s="41"/>
      <c r="V140" s="408">
        <f>SUM(V132:V139)</f>
        <v>-11.63761</v>
      </c>
      <c r="W140" s="408">
        <f>SUM(W132:W139)</f>
        <v>3.3928400000000001</v>
      </c>
      <c r="X140" s="408">
        <f>SUM(X132:X139)</f>
        <v>-8.2447700000000008</v>
      </c>
      <c r="Y140" s="80"/>
      <c r="Z140" s="80">
        <f t="shared" ref="Z140" si="103">SUM(Z132:Z139)</f>
        <v>0</v>
      </c>
      <c r="AA140" s="39"/>
      <c r="AB140" s="249">
        <f>SUM(AB132:AB139)</f>
        <v>-1</v>
      </c>
      <c r="AC140" s="249">
        <f>SUM(AC132:AC139)</f>
        <v>1</v>
      </c>
      <c r="AD140" s="249">
        <f>SUM(AD132:AD139)</f>
        <v>0</v>
      </c>
      <c r="AE140" s="41"/>
      <c r="AF140" s="80"/>
      <c r="AG140" s="194"/>
      <c r="AH140" s="195"/>
      <c r="AI140" s="149">
        <f>SUM(AI132:AI139)</f>
        <v>-2.1881100000000004</v>
      </c>
      <c r="AJ140" s="149">
        <f>SUM(AJ132:AJ139)</f>
        <v>1.3326500000000001</v>
      </c>
      <c r="AK140" s="149">
        <f>AI140+AJ140</f>
        <v>-0.85546000000000033</v>
      </c>
      <c r="AL140" s="81"/>
      <c r="AM140" s="81"/>
      <c r="AN140" s="81"/>
      <c r="AO140" s="81"/>
      <c r="AP140" s="340">
        <f>SUM(AP132:AP139)</f>
        <v>0</v>
      </c>
      <c r="AQ140" s="340">
        <f>SUM(AQ132:AQ139)</f>
        <v>2</v>
      </c>
      <c r="AR140" s="340">
        <f t="shared" ref="AR140:AR197" si="104">AP140+AQ140</f>
        <v>2</v>
      </c>
      <c r="AS140" s="226"/>
      <c r="AT140" s="81"/>
      <c r="AU140" s="81"/>
      <c r="AV140" s="81"/>
      <c r="AW140" s="333">
        <f>SUM(AW132:AW139)</f>
        <v>-1.3811</v>
      </c>
      <c r="AX140" s="333">
        <f>SUM(AX132:AX139)</f>
        <v>29.126369999999998</v>
      </c>
      <c r="AY140" s="333">
        <f t="shared" si="99"/>
        <v>27.745269999999998</v>
      </c>
      <c r="AZ140" s="81"/>
      <c r="BA140" s="81"/>
      <c r="BB140" s="81"/>
      <c r="BC140" s="81"/>
      <c r="BD140" s="227" t="e">
        <f>SUM(BD132:BD139)</f>
        <v>#REF!</v>
      </c>
      <c r="BE140" s="227" t="e">
        <f>SUM(BE132:BE139)</f>
        <v>#REF!</v>
      </c>
      <c r="BF140" s="227" t="e">
        <f t="shared" si="54"/>
        <v>#REF!</v>
      </c>
      <c r="BG140" s="221" t="e">
        <f t="shared" si="101"/>
        <v>#REF!</v>
      </c>
      <c r="BK140" s="346">
        <f>SUM(BK132:BK139)</f>
        <v>0</v>
      </c>
      <c r="BL140" s="346">
        <f>SUM(BL132:BL139)</f>
        <v>2</v>
      </c>
      <c r="BM140" s="346">
        <f t="shared" si="100"/>
        <v>2</v>
      </c>
      <c r="BN140" s="226"/>
    </row>
    <row r="141" spans="1:66" ht="15" customHeight="1" outlineLevel="2" x14ac:dyDescent="0.25">
      <c r="A141" s="324">
        <v>132</v>
      </c>
      <c r="B141" s="385" t="s">
        <v>39</v>
      </c>
      <c r="C141" s="386" t="s">
        <v>191</v>
      </c>
      <c r="D141" s="37">
        <v>-1</v>
      </c>
      <c r="E141" s="37">
        <v>1</v>
      </c>
      <c r="F141" s="37">
        <f t="shared" si="102"/>
        <v>0</v>
      </c>
      <c r="G141" s="38"/>
      <c r="H141" s="39"/>
      <c r="I141" s="37">
        <v>-1</v>
      </c>
      <c r="J141" s="37">
        <v>0.9</v>
      </c>
      <c r="K141" s="37">
        <f t="shared" si="94"/>
        <v>-9.9999999999999978E-2</v>
      </c>
      <c r="L141" s="38"/>
      <c r="M141" s="38"/>
      <c r="N141" s="37" t="e">
        <f>-SUMIF(#REF!,$C141,#REF!)/1000</f>
        <v>#REF!</v>
      </c>
      <c r="O141" s="37" t="e">
        <f>SUMIF(#REF!,$C141,#REF!)/1000</f>
        <v>#REF!</v>
      </c>
      <c r="P141" s="37" t="e">
        <f>N141+O141</f>
        <v>#REF!</v>
      </c>
      <c r="Q141" s="39"/>
      <c r="R141" s="157">
        <v>-1.07</v>
      </c>
      <c r="S141" s="157">
        <v>0.9</v>
      </c>
      <c r="T141" s="157">
        <f>R141+S141</f>
        <v>-0.17000000000000004</v>
      </c>
      <c r="U141" s="37"/>
      <c r="V141" s="407">
        <v>0</v>
      </c>
      <c r="W141" s="407">
        <v>0</v>
      </c>
      <c r="X141" s="407">
        <f>SUM(V141:W141)</f>
        <v>0</v>
      </c>
      <c r="Y141" s="46"/>
      <c r="Z141" s="46"/>
      <c r="AA141" s="39"/>
      <c r="AB141" s="248">
        <v>-0.2</v>
      </c>
      <c r="AC141" s="248"/>
      <c r="AD141" s="248">
        <f>AB141+AC141</f>
        <v>-0.2</v>
      </c>
      <c r="AE141" s="193"/>
      <c r="AF141" s="199"/>
      <c r="AG141" s="194"/>
      <c r="AH141" s="195"/>
      <c r="AI141" s="148">
        <v>-0.21134</v>
      </c>
      <c r="AJ141" s="148">
        <v>7.2540000000000007E-2</v>
      </c>
      <c r="AK141" s="148">
        <v>-0.13879999999999998</v>
      </c>
      <c r="AL141" s="20"/>
      <c r="AM141" s="20"/>
      <c r="AN141" s="20"/>
      <c r="AO141" s="20"/>
      <c r="AP141" s="339">
        <v>-0.2</v>
      </c>
      <c r="AQ141" s="339"/>
      <c r="AR141" s="339">
        <f t="shared" si="104"/>
        <v>-0.2</v>
      </c>
      <c r="AS141" s="225"/>
      <c r="AT141" s="20"/>
      <c r="AU141" s="20"/>
      <c r="AV141" s="20"/>
      <c r="AW141" s="332">
        <v>-0.35758999999999996</v>
      </c>
      <c r="AX141" s="332">
        <v>0.35758999999999996</v>
      </c>
      <c r="AY141" s="332">
        <f t="shared" si="99"/>
        <v>0</v>
      </c>
      <c r="AZ141" s="20"/>
      <c r="BA141" s="20"/>
      <c r="BB141" s="20"/>
      <c r="BC141" s="20"/>
      <c r="BD141" s="221" t="e">
        <f>-SUMIF(#REF!,'pôles &amp; actions'!$C141,#REF!)/1000</f>
        <v>#REF!</v>
      </c>
      <c r="BE141" s="221" t="e">
        <f>SUMIF(#REF!,'pôles &amp; actions'!$C141,#REF!)/1000</f>
        <v>#REF!</v>
      </c>
      <c r="BF141" s="221" t="e">
        <f t="shared" ref="BF141:BF197" si="105">BE141+BD141</f>
        <v>#REF!</v>
      </c>
      <c r="BG141" s="221" t="e">
        <f t="shared" si="101"/>
        <v>#REF!</v>
      </c>
      <c r="BK141" s="345">
        <v>-0.2</v>
      </c>
      <c r="BL141" s="345"/>
      <c r="BM141" s="345">
        <f t="shared" si="100"/>
        <v>-0.2</v>
      </c>
      <c r="BN141" s="225"/>
    </row>
    <row r="142" spans="1:66" ht="15" customHeight="1" outlineLevel="1" x14ac:dyDescent="0.25">
      <c r="A142" s="324">
        <v>133</v>
      </c>
      <c r="B142" s="392" t="s">
        <v>192</v>
      </c>
      <c r="C142" s="393"/>
      <c r="D142" s="41">
        <f>SUM(D141:D141)</f>
        <v>-1</v>
      </c>
      <c r="E142" s="41">
        <f>SUM(E141:E141)</f>
        <v>1</v>
      </c>
      <c r="F142" s="41">
        <f t="shared" si="102"/>
        <v>0</v>
      </c>
      <c r="G142" s="38"/>
      <c r="H142" s="39"/>
      <c r="I142" s="41">
        <f>SUM(I141)</f>
        <v>-1</v>
      </c>
      <c r="J142" s="41">
        <f>SUM(J141)</f>
        <v>0.9</v>
      </c>
      <c r="K142" s="41">
        <f>SUM(K141)</f>
        <v>-9.9999999999999978E-2</v>
      </c>
      <c r="L142" s="38"/>
      <c r="M142" s="38"/>
      <c r="N142" s="41" t="e">
        <f>SUM(N141:N141)</f>
        <v>#REF!</v>
      </c>
      <c r="O142" s="41" t="e">
        <f>SUM(O141:O141)</f>
        <v>#REF!</v>
      </c>
      <c r="P142" s="41" t="e">
        <f>SUM(P141:P141)</f>
        <v>#REF!</v>
      </c>
      <c r="Q142" s="39"/>
      <c r="R142" s="158">
        <f>SUM(R141:R141)</f>
        <v>-1.07</v>
      </c>
      <c r="S142" s="158">
        <f>SUM(S141:S141)</f>
        <v>0.9</v>
      </c>
      <c r="T142" s="158">
        <f>SUM(T141:T141)</f>
        <v>-0.17000000000000004</v>
      </c>
      <c r="U142" s="41"/>
      <c r="V142" s="408">
        <f>SUM(V141:V141)</f>
        <v>0</v>
      </c>
      <c r="W142" s="408">
        <f>SUM(W141:W141)</f>
        <v>0</v>
      </c>
      <c r="X142" s="408">
        <f>SUM(X141:X141)</f>
        <v>0</v>
      </c>
      <c r="Y142" s="80"/>
      <c r="Z142" s="80"/>
      <c r="AA142" s="39"/>
      <c r="AB142" s="249">
        <f>AB141</f>
        <v>-0.2</v>
      </c>
      <c r="AC142" s="249">
        <f>AC141</f>
        <v>0</v>
      </c>
      <c r="AD142" s="249">
        <f>SUM(AD141:AD141)</f>
        <v>-0.2</v>
      </c>
      <c r="AE142" s="41"/>
      <c r="AF142" s="80"/>
      <c r="AG142" s="194"/>
      <c r="AH142" s="195"/>
      <c r="AI142" s="149">
        <f>SUM(AI141)</f>
        <v>-0.21134</v>
      </c>
      <c r="AJ142" s="149">
        <f>SUM(AJ141)</f>
        <v>7.2540000000000007E-2</v>
      </c>
      <c r="AK142" s="149">
        <f>AJ142+AI142</f>
        <v>-0.13879999999999998</v>
      </c>
      <c r="AL142" s="81"/>
      <c r="AM142" s="81"/>
      <c r="AN142" s="81"/>
      <c r="AO142" s="81"/>
      <c r="AP142" s="340">
        <f>AP141</f>
        <v>-0.2</v>
      </c>
      <c r="AQ142" s="340">
        <f>AQ141</f>
        <v>0</v>
      </c>
      <c r="AR142" s="340">
        <f t="shared" si="104"/>
        <v>-0.2</v>
      </c>
      <c r="AS142" s="226"/>
      <c r="AT142" s="81"/>
      <c r="AU142" s="81"/>
      <c r="AV142" s="81"/>
      <c r="AW142" s="333">
        <f>SUM(AW141)</f>
        <v>-0.35758999999999996</v>
      </c>
      <c r="AX142" s="333">
        <f>SUM(AX141)</f>
        <v>0.35758999999999996</v>
      </c>
      <c r="AY142" s="333">
        <f t="shared" si="99"/>
        <v>0</v>
      </c>
      <c r="AZ142" s="81"/>
      <c r="BA142" s="81"/>
      <c r="BB142" s="81"/>
      <c r="BC142" s="81"/>
      <c r="BD142" s="227" t="e">
        <f>BD141</f>
        <v>#REF!</v>
      </c>
      <c r="BE142" s="227" t="e">
        <f>BE141</f>
        <v>#REF!</v>
      </c>
      <c r="BF142" s="227" t="e">
        <f t="shared" si="105"/>
        <v>#REF!</v>
      </c>
      <c r="BG142" s="221" t="e">
        <f t="shared" si="101"/>
        <v>#REF!</v>
      </c>
      <c r="BK142" s="346">
        <f>BK141</f>
        <v>-0.2</v>
      </c>
      <c r="BL142" s="346">
        <f>BL141</f>
        <v>0</v>
      </c>
      <c r="BM142" s="346">
        <f t="shared" si="100"/>
        <v>-0.2</v>
      </c>
      <c r="BN142" s="226"/>
    </row>
    <row r="143" spans="1:66" ht="15" customHeight="1" outlineLevel="2" x14ac:dyDescent="0.25">
      <c r="A143" s="324">
        <v>134</v>
      </c>
      <c r="B143" s="385" t="s">
        <v>47</v>
      </c>
      <c r="C143" s="386" t="s">
        <v>193</v>
      </c>
      <c r="D143" s="37">
        <v>0</v>
      </c>
      <c r="E143" s="37">
        <v>0</v>
      </c>
      <c r="F143" s="37">
        <f t="shared" si="102"/>
        <v>0</v>
      </c>
      <c r="G143" s="38"/>
      <c r="H143" s="39"/>
      <c r="I143" s="37">
        <v>0</v>
      </c>
      <c r="J143" s="37">
        <v>0</v>
      </c>
      <c r="K143" s="37">
        <f>SUM(I143:J143)</f>
        <v>0</v>
      </c>
      <c r="L143" s="38"/>
      <c r="M143" s="38"/>
      <c r="N143" s="37" t="e">
        <f>-SUMIF(#REF!,$C143,#REF!)/1000</f>
        <v>#REF!</v>
      </c>
      <c r="O143" s="37" t="e">
        <f>SUMIF(#REF!,$C143,#REF!)/1000</f>
        <v>#REF!</v>
      </c>
      <c r="P143" s="37" t="e">
        <f>N143+O143</f>
        <v>#REF!</v>
      </c>
      <c r="Q143" s="39"/>
      <c r="R143" s="157">
        <v>-0.5</v>
      </c>
      <c r="S143" s="157">
        <v>0</v>
      </c>
      <c r="T143" s="157">
        <f>R143+S143</f>
        <v>-0.5</v>
      </c>
      <c r="U143" s="37"/>
      <c r="V143" s="407">
        <v>0</v>
      </c>
      <c r="W143" s="407">
        <v>0</v>
      </c>
      <c r="X143" s="407">
        <f>SUM(V143:W143)</f>
        <v>0</v>
      </c>
      <c r="Y143" s="46"/>
      <c r="Z143" s="46"/>
      <c r="AA143" s="39"/>
      <c r="AB143" s="248"/>
      <c r="AC143" s="248"/>
      <c r="AD143" s="248">
        <f>AB143+AC143</f>
        <v>0</v>
      </c>
      <c r="AE143" s="37"/>
      <c r="AF143" s="46"/>
      <c r="AG143" s="194"/>
      <c r="AH143" s="195"/>
      <c r="AI143" s="148">
        <v>0</v>
      </c>
      <c r="AJ143" s="148">
        <v>0</v>
      </c>
      <c r="AK143" s="148">
        <v>0</v>
      </c>
      <c r="AL143" s="20"/>
      <c r="AM143" s="20"/>
      <c r="AN143" s="20"/>
      <c r="AO143" s="20"/>
      <c r="AP143" s="339"/>
      <c r="AQ143" s="339"/>
      <c r="AR143" s="339">
        <f t="shared" si="104"/>
        <v>0</v>
      </c>
      <c r="AS143" s="225"/>
      <c r="AT143" s="20"/>
      <c r="AU143" s="20"/>
      <c r="AV143" s="20"/>
      <c r="AW143" s="332">
        <v>0</v>
      </c>
      <c r="AX143" s="332">
        <v>0</v>
      </c>
      <c r="AY143" s="332">
        <f t="shared" si="99"/>
        <v>0</v>
      </c>
      <c r="AZ143" s="20"/>
      <c r="BA143" s="20"/>
      <c r="BB143" s="20"/>
      <c r="BC143" s="20"/>
      <c r="BD143" s="221" t="e">
        <f>-SUMIF(#REF!,'pôles &amp; actions'!$C143,#REF!)/1000</f>
        <v>#REF!</v>
      </c>
      <c r="BE143" s="221" t="e">
        <f>SUMIF(#REF!,'pôles &amp; actions'!$C143,#REF!)/1000</f>
        <v>#REF!</v>
      </c>
      <c r="BF143" s="221" t="e">
        <f t="shared" si="105"/>
        <v>#REF!</v>
      </c>
      <c r="BG143" s="221" t="e">
        <f t="shared" si="101"/>
        <v>#REF!</v>
      </c>
      <c r="BK143" s="345"/>
      <c r="BL143" s="345"/>
      <c r="BM143" s="345">
        <f t="shared" si="100"/>
        <v>0</v>
      </c>
      <c r="BN143" s="225"/>
    </row>
    <row r="144" spans="1:66" ht="15" customHeight="1" outlineLevel="2" x14ac:dyDescent="0.25">
      <c r="A144" s="324">
        <v>135</v>
      </c>
      <c r="B144" s="385" t="s">
        <v>39</v>
      </c>
      <c r="C144" s="386" t="s">
        <v>194</v>
      </c>
      <c r="D144" s="37">
        <v>-1</v>
      </c>
      <c r="E144" s="37">
        <v>0</v>
      </c>
      <c r="F144" s="37">
        <f t="shared" si="102"/>
        <v>-1</v>
      </c>
      <c r="G144" s="38"/>
      <c r="H144" s="39"/>
      <c r="I144" s="37">
        <v>-0.80400000000000005</v>
      </c>
      <c r="J144" s="37">
        <v>0</v>
      </c>
      <c r="K144" s="37">
        <f>SUM(I144:J144)</f>
        <v>-0.80400000000000005</v>
      </c>
      <c r="L144" s="38"/>
      <c r="M144" s="38"/>
      <c r="N144" s="37" t="e">
        <f>-SUMIF(#REF!,$C144,#REF!)/1000</f>
        <v>#REF!</v>
      </c>
      <c r="O144" s="37" t="e">
        <f>SUMIF(#REF!,$C144,#REF!)/1000</f>
        <v>#REF!</v>
      </c>
      <c r="P144" s="37" t="e">
        <f>N144+O144</f>
        <v>#REF!</v>
      </c>
      <c r="Q144" s="39"/>
      <c r="R144" s="157">
        <v>0</v>
      </c>
      <c r="S144" s="157">
        <v>0</v>
      </c>
      <c r="T144" s="157">
        <f>R144+S144</f>
        <v>0</v>
      </c>
      <c r="U144" s="37"/>
      <c r="V144" s="407">
        <v>-0.18884999999999999</v>
      </c>
      <c r="W144" s="407">
        <v>5.425E-2</v>
      </c>
      <c r="X144" s="407">
        <f>SUM(V144:W144)</f>
        <v>-0.1346</v>
      </c>
      <c r="Y144" s="46"/>
      <c r="Z144" s="46"/>
      <c r="AA144" s="39"/>
      <c r="AB144" s="248">
        <v>-0.3</v>
      </c>
      <c r="AC144" s="248"/>
      <c r="AD144" s="248">
        <f>AB144+AC144</f>
        <v>-0.3</v>
      </c>
      <c r="AE144" s="37"/>
      <c r="AF144" s="46"/>
      <c r="AG144" s="194"/>
      <c r="AH144" s="195"/>
      <c r="AI144" s="148">
        <v>0</v>
      </c>
      <c r="AJ144" s="148">
        <v>0</v>
      </c>
      <c r="AK144" s="148">
        <v>0</v>
      </c>
      <c r="AL144" s="20"/>
      <c r="AM144" s="20"/>
      <c r="AN144" s="20"/>
      <c r="AO144" s="20"/>
      <c r="AP144" s="339">
        <v>-0.3</v>
      </c>
      <c r="AQ144" s="339"/>
      <c r="AR144" s="339">
        <f t="shared" si="104"/>
        <v>-0.3</v>
      </c>
      <c r="AS144" s="225"/>
      <c r="AT144" s="20"/>
      <c r="AU144" s="20"/>
      <c r="AV144" s="20"/>
      <c r="AW144" s="332">
        <v>0</v>
      </c>
      <c r="AX144" s="332">
        <v>0</v>
      </c>
      <c r="AY144" s="332">
        <f t="shared" si="99"/>
        <v>0</v>
      </c>
      <c r="AZ144" s="20"/>
      <c r="BA144" s="20"/>
      <c r="BB144" s="20"/>
      <c r="BC144" s="20"/>
      <c r="BD144" s="221" t="e">
        <f>-SUMIF(#REF!,'pôles &amp; actions'!$C144,#REF!)/1000</f>
        <v>#REF!</v>
      </c>
      <c r="BE144" s="221" t="e">
        <f>SUMIF(#REF!,'pôles &amp; actions'!$C144,#REF!)/1000</f>
        <v>#REF!</v>
      </c>
      <c r="BF144" s="221" t="e">
        <f t="shared" si="105"/>
        <v>#REF!</v>
      </c>
      <c r="BG144" s="221" t="e">
        <f t="shared" si="101"/>
        <v>#REF!</v>
      </c>
      <c r="BK144" s="345">
        <v>-0.3</v>
      </c>
      <c r="BL144" s="345"/>
      <c r="BM144" s="345">
        <f t="shared" si="100"/>
        <v>-0.3</v>
      </c>
      <c r="BN144" s="225"/>
    </row>
    <row r="145" spans="1:66" ht="15" customHeight="1" outlineLevel="2" x14ac:dyDescent="0.25">
      <c r="A145" s="324">
        <v>136</v>
      </c>
      <c r="B145" s="385" t="s">
        <v>43</v>
      </c>
      <c r="C145" s="386" t="s">
        <v>195</v>
      </c>
      <c r="D145" s="37">
        <v>0</v>
      </c>
      <c r="E145" s="37">
        <v>0</v>
      </c>
      <c r="F145" s="37">
        <f t="shared" si="102"/>
        <v>0</v>
      </c>
      <c r="G145" s="38"/>
      <c r="H145" s="39"/>
      <c r="I145" s="37">
        <v>0</v>
      </c>
      <c r="J145" s="37">
        <v>0</v>
      </c>
      <c r="K145" s="37">
        <f>SUM(I145:J145)</f>
        <v>0</v>
      </c>
      <c r="L145" s="38"/>
      <c r="M145" s="38"/>
      <c r="N145" s="37" t="e">
        <f>-SUMIF(#REF!,$C145,#REF!)/1000</f>
        <v>#REF!</v>
      </c>
      <c r="O145" s="37" t="e">
        <f>SUMIF(#REF!,$C145,#REF!)/1000</f>
        <v>#REF!</v>
      </c>
      <c r="P145" s="37" t="e">
        <f>N145+O145</f>
        <v>#REF!</v>
      </c>
      <c r="Q145" s="39"/>
      <c r="R145" s="157">
        <v>-2.1</v>
      </c>
      <c r="S145" s="157">
        <v>0</v>
      </c>
      <c r="T145" s="157">
        <f>R145+S145</f>
        <v>-2.1</v>
      </c>
      <c r="U145" s="37"/>
      <c r="V145" s="407">
        <v>0</v>
      </c>
      <c r="W145" s="407">
        <v>0</v>
      </c>
      <c r="X145" s="407">
        <f>SUM(V145:W145)</f>
        <v>0</v>
      </c>
      <c r="Y145" s="46"/>
      <c r="Z145" s="46"/>
      <c r="AA145" s="39"/>
      <c r="AB145" s="248"/>
      <c r="AC145" s="248"/>
      <c r="AD145" s="248">
        <f>AB145+AC145</f>
        <v>0</v>
      </c>
      <c r="AE145" s="37"/>
      <c r="AF145" s="46"/>
      <c r="AG145" s="194"/>
      <c r="AH145" s="195"/>
      <c r="AI145" s="148">
        <v>0</v>
      </c>
      <c r="AJ145" s="148">
        <v>0</v>
      </c>
      <c r="AK145" s="148">
        <v>0</v>
      </c>
      <c r="AL145" s="20"/>
      <c r="AM145" s="20"/>
      <c r="AN145" s="20"/>
      <c r="AO145" s="20"/>
      <c r="AP145" s="339"/>
      <c r="AQ145" s="339"/>
      <c r="AR145" s="339">
        <f t="shared" si="104"/>
        <v>0</v>
      </c>
      <c r="AS145" s="225"/>
      <c r="AT145" s="20"/>
      <c r="AU145" s="20"/>
      <c r="AV145" s="20"/>
      <c r="AW145" s="332">
        <v>0</v>
      </c>
      <c r="AX145" s="332">
        <v>0</v>
      </c>
      <c r="AY145" s="332">
        <f t="shared" si="99"/>
        <v>0</v>
      </c>
      <c r="AZ145" s="20"/>
      <c r="BA145" s="20"/>
      <c r="BB145" s="20"/>
      <c r="BC145" s="20"/>
      <c r="BD145" s="221" t="e">
        <f>-SUMIF(#REF!,'pôles &amp; actions'!$C145,#REF!)/1000</f>
        <v>#REF!</v>
      </c>
      <c r="BE145" s="221" t="e">
        <f>SUMIF(#REF!,'pôles &amp; actions'!$C145,#REF!)/1000</f>
        <v>#REF!</v>
      </c>
      <c r="BF145" s="221" t="e">
        <f t="shared" si="105"/>
        <v>#REF!</v>
      </c>
      <c r="BG145" s="221" t="e">
        <f t="shared" si="101"/>
        <v>#REF!</v>
      </c>
      <c r="BK145" s="345"/>
      <c r="BL145" s="345"/>
      <c r="BM145" s="345">
        <f t="shared" si="100"/>
        <v>0</v>
      </c>
      <c r="BN145" s="225"/>
    </row>
    <row r="146" spans="1:66" ht="15" customHeight="1" outlineLevel="1" x14ac:dyDescent="0.25">
      <c r="A146" s="324">
        <v>137</v>
      </c>
      <c r="B146" s="392" t="s">
        <v>423</v>
      </c>
      <c r="C146" s="393"/>
      <c r="D146" s="41">
        <f>SUM(D143:D145)</f>
        <v>-1</v>
      </c>
      <c r="E146" s="41">
        <v>0</v>
      </c>
      <c r="F146" s="41">
        <f t="shared" si="102"/>
        <v>-1</v>
      </c>
      <c r="G146" s="38"/>
      <c r="H146" s="39"/>
      <c r="I146" s="41">
        <f>SUM(I143:I145)</f>
        <v>-0.80400000000000005</v>
      </c>
      <c r="J146" s="41">
        <f>SUM(J143:J145)</f>
        <v>0</v>
      </c>
      <c r="K146" s="41">
        <f>SUM(K143:K145)</f>
        <v>-0.80400000000000005</v>
      </c>
      <c r="L146" s="38"/>
      <c r="M146" s="38"/>
      <c r="N146" s="41" t="e">
        <f>SUM(N143:N145)</f>
        <v>#REF!</v>
      </c>
      <c r="O146" s="41" t="e">
        <f>SUM(O143:O145)</f>
        <v>#REF!</v>
      </c>
      <c r="P146" s="41" t="e">
        <f>SUM(P143:P145)</f>
        <v>#REF!</v>
      </c>
      <c r="Q146" s="39"/>
      <c r="R146" s="158">
        <f>SUM(R143:R145)</f>
        <v>-2.6</v>
      </c>
      <c r="S146" s="158">
        <f>SUM(S143:S145)</f>
        <v>0</v>
      </c>
      <c r="T146" s="158">
        <f>SUM(T143:T145)</f>
        <v>-2.6</v>
      </c>
      <c r="U146" s="41"/>
      <c r="V146" s="408">
        <f>SUM(V143:V145)</f>
        <v>-0.18884999999999999</v>
      </c>
      <c r="W146" s="408">
        <f>SUM(W143:W145)</f>
        <v>5.425E-2</v>
      </c>
      <c r="X146" s="408">
        <f>SUM(X143:X145)</f>
        <v>-0.1346</v>
      </c>
      <c r="Y146" s="80"/>
      <c r="Z146" s="80">
        <f t="shared" ref="Z146" si="106">SUM(Z143:Z145)</f>
        <v>0</v>
      </c>
      <c r="AA146" s="39"/>
      <c r="AB146" s="249">
        <f>SUM(AB143:AB145)</f>
        <v>-0.3</v>
      </c>
      <c r="AC146" s="249">
        <f>SUM(AC143:AC145)</f>
        <v>0</v>
      </c>
      <c r="AD146" s="249">
        <f>SUM(AD143:AD145)</f>
        <v>-0.3</v>
      </c>
      <c r="AE146" s="41"/>
      <c r="AF146" s="80"/>
      <c r="AG146" s="194"/>
      <c r="AH146" s="195"/>
      <c r="AI146" s="149">
        <f>SUM(AI143:AI145)</f>
        <v>0</v>
      </c>
      <c r="AJ146" s="149">
        <f>SUM(AJ143:AJ145)</f>
        <v>0</v>
      </c>
      <c r="AK146" s="149">
        <f>AJ146+AI146</f>
        <v>0</v>
      </c>
      <c r="AL146" s="81"/>
      <c r="AM146" s="81"/>
      <c r="AN146" s="81"/>
      <c r="AO146" s="81"/>
      <c r="AP146" s="340">
        <f>SUM(AP143:AP145)</f>
        <v>-0.3</v>
      </c>
      <c r="AQ146" s="340">
        <f>SUM(AQ143:AQ145)</f>
        <v>0</v>
      </c>
      <c r="AR146" s="340">
        <f t="shared" si="104"/>
        <v>-0.3</v>
      </c>
      <c r="AS146" s="226"/>
      <c r="AT146" s="81"/>
      <c r="AU146" s="81"/>
      <c r="AV146" s="81"/>
      <c r="AW146" s="333">
        <v>0</v>
      </c>
      <c r="AX146" s="333">
        <v>0</v>
      </c>
      <c r="AY146" s="333">
        <f t="shared" si="99"/>
        <v>0</v>
      </c>
      <c r="AZ146" s="81"/>
      <c r="BA146" s="81"/>
      <c r="BB146" s="81"/>
      <c r="BC146" s="81"/>
      <c r="BD146" s="227" t="e">
        <f>SUM(BD143:BD145)</f>
        <v>#REF!</v>
      </c>
      <c r="BE146" s="227" t="e">
        <f>SUM(BE143:BE145)</f>
        <v>#REF!</v>
      </c>
      <c r="BF146" s="227" t="e">
        <f t="shared" si="105"/>
        <v>#REF!</v>
      </c>
      <c r="BG146" s="221" t="e">
        <f t="shared" si="101"/>
        <v>#REF!</v>
      </c>
      <c r="BK146" s="346">
        <f>SUM(BK143:BK145)</f>
        <v>-0.3</v>
      </c>
      <c r="BL146" s="346">
        <f>SUM(BL143:BL145)</f>
        <v>0</v>
      </c>
      <c r="BM146" s="346">
        <f t="shared" si="100"/>
        <v>-0.3</v>
      </c>
      <c r="BN146" s="226"/>
    </row>
    <row r="147" spans="1:66" ht="15" customHeight="1" outlineLevel="2" x14ac:dyDescent="0.25">
      <c r="A147" s="324">
        <v>138</v>
      </c>
      <c r="B147" s="385" t="s">
        <v>47</v>
      </c>
      <c r="C147" s="399" t="s">
        <v>196</v>
      </c>
      <c r="D147" s="37">
        <v>0</v>
      </c>
      <c r="E147" s="37">
        <v>0</v>
      </c>
      <c r="F147" s="37">
        <f t="shared" si="102"/>
        <v>0</v>
      </c>
      <c r="G147" s="38"/>
      <c r="H147" s="39"/>
      <c r="I147" s="37">
        <v>0</v>
      </c>
      <c r="J147" s="37">
        <v>0</v>
      </c>
      <c r="K147" s="37">
        <f t="shared" ref="K147:K152" si="107">SUM(I147:J147)</f>
        <v>0</v>
      </c>
      <c r="L147" s="38"/>
      <c r="M147" s="38"/>
      <c r="N147" s="37" t="e">
        <f>-SUMIF(#REF!,$C147,#REF!)/1000</f>
        <v>#REF!</v>
      </c>
      <c r="O147" s="37" t="e">
        <f>SUMIF(#REF!,$C147,#REF!)/1000</f>
        <v>#REF!</v>
      </c>
      <c r="P147" s="37" t="e">
        <f t="shared" ref="P147:P152" si="108">N147+O147</f>
        <v>#REF!</v>
      </c>
      <c r="Q147" s="39"/>
      <c r="R147" s="157">
        <v>0</v>
      </c>
      <c r="S147" s="157">
        <v>0</v>
      </c>
      <c r="T147" s="157">
        <f>R147+S147</f>
        <v>0</v>
      </c>
      <c r="U147" s="37"/>
      <c r="V147" s="407">
        <v>0</v>
      </c>
      <c r="W147" s="407">
        <v>0</v>
      </c>
      <c r="X147" s="407">
        <f>SUM(V147:W147)</f>
        <v>0</v>
      </c>
      <c r="Y147" s="46"/>
      <c r="Z147" s="46"/>
      <c r="AA147" s="39"/>
      <c r="AB147" s="248">
        <v>0</v>
      </c>
      <c r="AC147" s="248">
        <v>0</v>
      </c>
      <c r="AD147" s="248">
        <f>AB147+AC147</f>
        <v>0</v>
      </c>
      <c r="AE147" s="37"/>
      <c r="AF147" s="46"/>
      <c r="AG147" s="194"/>
      <c r="AH147" s="195"/>
      <c r="AI147" s="148">
        <v>0</v>
      </c>
      <c r="AJ147" s="148">
        <v>0</v>
      </c>
      <c r="AK147" s="148">
        <v>0</v>
      </c>
      <c r="AL147" s="20"/>
      <c r="AM147" s="20"/>
      <c r="AN147" s="20"/>
      <c r="AO147" s="20"/>
      <c r="AP147" s="339"/>
      <c r="AQ147" s="339"/>
      <c r="AR147" s="339">
        <f t="shared" si="104"/>
        <v>0</v>
      </c>
      <c r="AS147" s="225"/>
      <c r="AT147" s="20"/>
      <c r="AU147" s="20"/>
      <c r="AV147" s="20"/>
      <c r="AW147" s="332">
        <v>-0.10529000000000001</v>
      </c>
      <c r="AX147" s="332">
        <v>0</v>
      </c>
      <c r="AY147" s="332">
        <f t="shared" si="99"/>
        <v>-0.10529000000000001</v>
      </c>
      <c r="AZ147" s="20"/>
      <c r="BA147" s="20"/>
      <c r="BB147" s="20"/>
      <c r="BC147" s="20"/>
      <c r="BD147" s="221" t="e">
        <f>-SUMIF(#REF!,'pôles &amp; actions'!$C147,#REF!)/1000</f>
        <v>#REF!</v>
      </c>
      <c r="BE147" s="221" t="e">
        <f>SUMIF(#REF!,'pôles &amp; actions'!$C147,#REF!)/1000</f>
        <v>#REF!</v>
      </c>
      <c r="BF147" s="221" t="e">
        <f t="shared" si="105"/>
        <v>#REF!</v>
      </c>
      <c r="BG147" s="221" t="e">
        <f t="shared" si="101"/>
        <v>#REF!</v>
      </c>
      <c r="BK147" s="345"/>
      <c r="BL147" s="345"/>
      <c r="BM147" s="345">
        <f t="shared" si="100"/>
        <v>0</v>
      </c>
      <c r="BN147" s="225"/>
    </row>
    <row r="148" spans="1:66" ht="15" customHeight="1" outlineLevel="2" x14ac:dyDescent="0.25">
      <c r="A148" s="324">
        <v>139</v>
      </c>
      <c r="B148" s="385" t="s">
        <v>39</v>
      </c>
      <c r="C148" s="399" t="s">
        <v>197</v>
      </c>
      <c r="D148" s="37">
        <v>-2</v>
      </c>
      <c r="E148" s="37">
        <v>0</v>
      </c>
      <c r="F148" s="37">
        <f t="shared" si="102"/>
        <v>-2</v>
      </c>
      <c r="G148" s="38"/>
      <c r="H148" s="39"/>
      <c r="I148" s="37">
        <v>-0.6</v>
      </c>
      <c r="J148" s="37">
        <v>0</v>
      </c>
      <c r="K148" s="37">
        <f t="shared" si="107"/>
        <v>-0.6</v>
      </c>
      <c r="L148" s="38"/>
      <c r="M148" s="38"/>
      <c r="N148" s="37" t="e">
        <f>-SUMIF(#REF!,$C148,#REF!)/1000</f>
        <v>#REF!</v>
      </c>
      <c r="O148" s="37" t="e">
        <f>SUMIF(#REF!,$C148,#REF!)/1000</f>
        <v>#REF!</v>
      </c>
      <c r="P148" s="37" t="e">
        <f t="shared" si="108"/>
        <v>#REF!</v>
      </c>
      <c r="Q148" s="39"/>
      <c r="R148" s="157">
        <v>-1</v>
      </c>
      <c r="S148" s="157">
        <v>0</v>
      </c>
      <c r="T148" s="157">
        <f>R148+S148</f>
        <v>-1</v>
      </c>
      <c r="U148" s="37"/>
      <c r="V148" s="407">
        <v>-1.8249999999999999E-2</v>
      </c>
      <c r="W148" s="407">
        <v>1.8249999999999999E-2</v>
      </c>
      <c r="X148" s="407">
        <f>SUM(V148:W148)</f>
        <v>0</v>
      </c>
      <c r="Y148" s="46"/>
      <c r="Z148" s="46"/>
      <c r="AA148" s="39"/>
      <c r="AB148" s="248">
        <v>0</v>
      </c>
      <c r="AC148" s="248">
        <v>0</v>
      </c>
      <c r="AD148" s="248">
        <f>AB148+AC148</f>
        <v>0</v>
      </c>
      <c r="AE148" s="37"/>
      <c r="AF148" s="46"/>
      <c r="AG148" s="194"/>
      <c r="AH148" s="195"/>
      <c r="AI148" s="148">
        <v>-0.05</v>
      </c>
      <c r="AJ148" s="148">
        <v>0.05</v>
      </c>
      <c r="AK148" s="148">
        <v>0</v>
      </c>
      <c r="AL148" s="20"/>
      <c r="AM148" s="20"/>
      <c r="AN148" s="20"/>
      <c r="AO148" s="20"/>
      <c r="AP148" s="339"/>
      <c r="AQ148" s="339"/>
      <c r="AR148" s="339">
        <f t="shared" si="104"/>
        <v>0</v>
      </c>
      <c r="AS148" s="225"/>
      <c r="AT148" s="20"/>
      <c r="AU148" s="20"/>
      <c r="AV148" s="20"/>
      <c r="AW148" s="332">
        <v>0</v>
      </c>
      <c r="AX148" s="332">
        <v>0</v>
      </c>
      <c r="AY148" s="332">
        <f t="shared" si="99"/>
        <v>0</v>
      </c>
      <c r="AZ148" s="20"/>
      <c r="BA148" s="20"/>
      <c r="BB148" s="20"/>
      <c r="BC148" s="20"/>
      <c r="BD148" s="221" t="e">
        <f>-SUMIF(#REF!,'pôles &amp; actions'!$C148,#REF!)/1000</f>
        <v>#REF!</v>
      </c>
      <c r="BE148" s="221" t="e">
        <f>SUMIF(#REF!,'pôles &amp; actions'!$C148,#REF!)/1000</f>
        <v>#REF!</v>
      </c>
      <c r="BF148" s="221" t="e">
        <f t="shared" si="105"/>
        <v>#REF!</v>
      </c>
      <c r="BG148" s="221" t="e">
        <f t="shared" si="101"/>
        <v>#REF!</v>
      </c>
      <c r="BK148" s="345">
        <v>-1</v>
      </c>
      <c r="BL148" s="345"/>
      <c r="BM148" s="345">
        <f t="shared" si="100"/>
        <v>-1</v>
      </c>
      <c r="BN148" s="225"/>
    </row>
    <row r="149" spans="1:66" ht="15" customHeight="1" outlineLevel="1" x14ac:dyDescent="0.25">
      <c r="A149" s="324">
        <v>140</v>
      </c>
      <c r="B149" s="392" t="s">
        <v>424</v>
      </c>
      <c r="C149" s="393"/>
      <c r="D149" s="41">
        <f>SUM(D147:D148)</f>
        <v>-2</v>
      </c>
      <c r="E149" s="41">
        <f>SUM(E147:E148)</f>
        <v>0</v>
      </c>
      <c r="F149" s="41">
        <f t="shared" si="102"/>
        <v>-2</v>
      </c>
      <c r="G149" s="38"/>
      <c r="H149" s="39"/>
      <c r="I149" s="41">
        <f>SUM(I147:I148)</f>
        <v>-0.6</v>
      </c>
      <c r="J149" s="41">
        <f>SUM(J147:J148)</f>
        <v>0</v>
      </c>
      <c r="K149" s="41">
        <f t="shared" si="107"/>
        <v>-0.6</v>
      </c>
      <c r="L149" s="38"/>
      <c r="M149" s="38"/>
      <c r="N149" s="41" t="e">
        <f>SUM(N147:N148)</f>
        <v>#REF!</v>
      </c>
      <c r="O149" s="41" t="e">
        <f>SUM(O147:O148)</f>
        <v>#REF!</v>
      </c>
      <c r="P149" s="41" t="e">
        <f t="shared" si="108"/>
        <v>#REF!</v>
      </c>
      <c r="Q149" s="39"/>
      <c r="R149" s="158">
        <f>SUM(R147:R148)</f>
        <v>-1</v>
      </c>
      <c r="S149" s="158">
        <f>SUM(S147:S148)</f>
        <v>0</v>
      </c>
      <c r="T149" s="158">
        <f>SUM(T147:T148)</f>
        <v>-1</v>
      </c>
      <c r="U149" s="41"/>
      <c r="V149" s="408">
        <f>SUM(V147:V148)</f>
        <v>-1.8249999999999999E-2</v>
      </c>
      <c r="W149" s="408">
        <f>SUM(W147:W148)</f>
        <v>1.8249999999999999E-2</v>
      </c>
      <c r="X149" s="408">
        <f>SUM(X147:X148)</f>
        <v>0</v>
      </c>
      <c r="Y149" s="80"/>
      <c r="Z149" s="80">
        <f t="shared" ref="Z149" si="109">SUM(Z147:Z148)</f>
        <v>0</v>
      </c>
      <c r="AA149" s="39"/>
      <c r="AB149" s="249">
        <f>SUM(AB147:AB148)</f>
        <v>0</v>
      </c>
      <c r="AC149" s="249">
        <f>SUM(AC147:AC148)</f>
        <v>0</v>
      </c>
      <c r="AD149" s="249">
        <f>SUM(AD147:AD148)</f>
        <v>0</v>
      </c>
      <c r="AE149" s="41"/>
      <c r="AF149" s="80"/>
      <c r="AG149" s="194"/>
      <c r="AH149" s="195"/>
      <c r="AI149" s="149">
        <f>SUM(AI147:AI148)</f>
        <v>-0.05</v>
      </c>
      <c r="AJ149" s="149">
        <f>SUM(AJ147:AJ148)</f>
        <v>0.05</v>
      </c>
      <c r="AK149" s="149">
        <f>AJ149+AI149</f>
        <v>0</v>
      </c>
      <c r="AL149" s="81"/>
      <c r="AM149" s="81"/>
      <c r="AN149" s="81"/>
      <c r="AO149" s="81"/>
      <c r="AP149" s="340">
        <v>-1</v>
      </c>
      <c r="AQ149" s="340">
        <f>SUM(AQ147:AQ148)</f>
        <v>0</v>
      </c>
      <c r="AR149" s="340">
        <f t="shared" si="104"/>
        <v>-1</v>
      </c>
      <c r="AS149" s="226"/>
      <c r="AT149" s="81"/>
      <c r="AU149" s="81"/>
      <c r="AV149" s="81"/>
      <c r="AW149" s="333">
        <f>SUM(AW147:AW148)</f>
        <v>-0.10529000000000001</v>
      </c>
      <c r="AX149" s="333">
        <f>SUM(AX147:AX148)</f>
        <v>0</v>
      </c>
      <c r="AY149" s="333">
        <f t="shared" si="99"/>
        <v>-0.10529000000000001</v>
      </c>
      <c r="AZ149" s="81"/>
      <c r="BA149" s="81"/>
      <c r="BB149" s="81"/>
      <c r="BC149" s="81"/>
      <c r="BD149" s="227" t="e">
        <f>SUM(BD147:BD148)</f>
        <v>#REF!</v>
      </c>
      <c r="BE149" s="227" t="e">
        <f>SUM(BE147:BE148)</f>
        <v>#REF!</v>
      </c>
      <c r="BF149" s="227" t="e">
        <f t="shared" si="105"/>
        <v>#REF!</v>
      </c>
      <c r="BG149" s="221" t="e">
        <f t="shared" si="101"/>
        <v>#REF!</v>
      </c>
      <c r="BK149" s="346">
        <f>SUM(BK147:BK148)</f>
        <v>-1</v>
      </c>
      <c r="BL149" s="346">
        <f>SUM(BL147:BL148)</f>
        <v>0</v>
      </c>
      <c r="BM149" s="346">
        <f t="shared" si="100"/>
        <v>-1</v>
      </c>
      <c r="BN149" s="226"/>
    </row>
    <row r="150" spans="1:66" ht="15" customHeight="1" outlineLevel="2" x14ac:dyDescent="0.25">
      <c r="A150" s="324">
        <v>141</v>
      </c>
      <c r="B150" s="385" t="s">
        <v>198</v>
      </c>
      <c r="C150" s="386" t="s">
        <v>199</v>
      </c>
      <c r="D150" s="37">
        <v>-2</v>
      </c>
      <c r="E150" s="37">
        <v>0</v>
      </c>
      <c r="F150" s="37">
        <f t="shared" si="102"/>
        <v>-2</v>
      </c>
      <c r="G150" s="38"/>
      <c r="H150" s="39"/>
      <c r="I150" s="37">
        <v>0</v>
      </c>
      <c r="J150" s="37">
        <v>0</v>
      </c>
      <c r="K150" s="37">
        <f t="shared" si="107"/>
        <v>0</v>
      </c>
      <c r="L150" s="38"/>
      <c r="M150" s="38"/>
      <c r="N150" s="37" t="e">
        <f>-SUMIF(#REF!,$C150,#REF!)/1000</f>
        <v>#REF!</v>
      </c>
      <c r="O150" s="37" t="e">
        <f>SUMIF(#REF!,$C150,#REF!)/1000</f>
        <v>#REF!</v>
      </c>
      <c r="P150" s="37" t="e">
        <f t="shared" si="108"/>
        <v>#REF!</v>
      </c>
      <c r="Q150" s="39"/>
      <c r="R150" s="157">
        <v>-2</v>
      </c>
      <c r="S150" s="157">
        <v>0</v>
      </c>
      <c r="T150" s="157">
        <f>R150+S150</f>
        <v>-2</v>
      </c>
      <c r="U150" s="37"/>
      <c r="V150" s="407">
        <v>0</v>
      </c>
      <c r="W150" s="407">
        <v>0</v>
      </c>
      <c r="X150" s="407">
        <f>SUM(V150:W150)</f>
        <v>0</v>
      </c>
      <c r="Y150" s="46"/>
      <c r="Z150" s="46"/>
      <c r="AA150" s="39"/>
      <c r="AB150" s="248">
        <v>-0.3</v>
      </c>
      <c r="AC150" s="248">
        <v>0</v>
      </c>
      <c r="AD150" s="248">
        <f>AB150+AC150</f>
        <v>-0.3</v>
      </c>
      <c r="AE150" s="193"/>
      <c r="AF150" s="199"/>
      <c r="AG150" s="194"/>
      <c r="AH150" s="195"/>
      <c r="AI150" s="148">
        <v>0</v>
      </c>
      <c r="AJ150" s="148">
        <v>0</v>
      </c>
      <c r="AK150" s="148">
        <v>0</v>
      </c>
      <c r="AL150" s="20"/>
      <c r="AM150" s="20"/>
      <c r="AN150" s="20"/>
      <c r="AO150" s="20"/>
      <c r="AP150" s="339">
        <v>-0.3</v>
      </c>
      <c r="AQ150" s="339"/>
      <c r="AR150" s="339">
        <f t="shared" si="104"/>
        <v>-0.3</v>
      </c>
      <c r="AS150" s="225"/>
      <c r="AT150" s="20"/>
      <c r="AU150" s="20"/>
      <c r="AV150" s="20"/>
      <c r="AW150" s="332">
        <v>0</v>
      </c>
      <c r="AX150" s="332">
        <v>0</v>
      </c>
      <c r="AY150" s="332">
        <f t="shared" si="99"/>
        <v>0</v>
      </c>
      <c r="AZ150" s="20"/>
      <c r="BA150" s="20"/>
      <c r="BB150" s="20"/>
      <c r="BC150" s="20"/>
      <c r="BD150" s="221" t="e">
        <f>-SUMIF(#REF!,'pôles &amp; actions'!$C150,#REF!)/1000</f>
        <v>#REF!</v>
      </c>
      <c r="BE150" s="221" t="e">
        <f>SUMIF(#REF!,'pôles &amp; actions'!$C150,#REF!)/1000</f>
        <v>#REF!</v>
      </c>
      <c r="BF150" s="221" t="e">
        <f t="shared" si="105"/>
        <v>#REF!</v>
      </c>
      <c r="BG150" s="221" t="e">
        <f t="shared" si="101"/>
        <v>#REF!</v>
      </c>
      <c r="BK150" s="345"/>
      <c r="BL150" s="345"/>
      <c r="BM150" s="345">
        <f t="shared" si="100"/>
        <v>0</v>
      </c>
      <c r="BN150" s="225"/>
    </row>
    <row r="151" spans="1:66" ht="15" hidden="1" customHeight="1" outlineLevel="3" x14ac:dyDescent="0.25">
      <c r="A151" s="324">
        <v>141</v>
      </c>
      <c r="B151" s="385" t="s">
        <v>200</v>
      </c>
      <c r="C151" s="386" t="s">
        <v>201</v>
      </c>
      <c r="D151" s="37">
        <v>-3</v>
      </c>
      <c r="E151" s="37">
        <v>3</v>
      </c>
      <c r="F151" s="37">
        <f t="shared" si="102"/>
        <v>0</v>
      </c>
      <c r="G151" s="38"/>
      <c r="H151" s="39"/>
      <c r="I151" s="37">
        <v>0</v>
      </c>
      <c r="J151" s="37">
        <v>0</v>
      </c>
      <c r="K151" s="37">
        <f t="shared" si="107"/>
        <v>0</v>
      </c>
      <c r="L151" s="38"/>
      <c r="M151" s="38"/>
      <c r="N151" s="37" t="e">
        <f>-SUMIF(#REF!,$C151,#REF!)/1000</f>
        <v>#REF!</v>
      </c>
      <c r="O151" s="37" t="e">
        <f>SUMIF(#REF!,$C151,#REF!)/1000</f>
        <v>#REF!</v>
      </c>
      <c r="P151" s="37" t="e">
        <f t="shared" si="108"/>
        <v>#REF!</v>
      </c>
      <c r="Q151" s="39"/>
      <c r="R151" s="157">
        <v>0</v>
      </c>
      <c r="S151" s="157">
        <v>0</v>
      </c>
      <c r="T151" s="157">
        <f>R151+S151</f>
        <v>0</v>
      </c>
      <c r="U151" s="37"/>
      <c r="V151" s="407">
        <v>0</v>
      </c>
      <c r="W151" s="407">
        <v>0</v>
      </c>
      <c r="X151" s="407">
        <f>SUM(V151:W151)</f>
        <v>0</v>
      </c>
      <c r="Y151" s="46"/>
      <c r="Z151" s="46"/>
      <c r="AA151" s="39"/>
      <c r="AB151" s="248">
        <v>0</v>
      </c>
      <c r="AC151" s="248">
        <v>0</v>
      </c>
      <c r="AD151" s="248">
        <f>AB151+AC151</f>
        <v>0</v>
      </c>
      <c r="AE151" s="193"/>
      <c r="AF151" s="199"/>
      <c r="AG151" s="194"/>
      <c r="AH151" s="195"/>
      <c r="AI151" s="148">
        <v>0</v>
      </c>
      <c r="AJ151" s="148">
        <v>0</v>
      </c>
      <c r="AK151" s="148">
        <v>0</v>
      </c>
      <c r="AL151" s="20"/>
      <c r="AM151" s="20"/>
      <c r="AN151" s="20"/>
      <c r="AO151" s="20"/>
      <c r="AP151" s="339"/>
      <c r="AQ151" s="339"/>
      <c r="AR151" s="339">
        <f t="shared" si="104"/>
        <v>0</v>
      </c>
      <c r="AS151" s="225"/>
      <c r="AT151" s="20"/>
      <c r="AU151" s="20"/>
      <c r="AV151" s="20"/>
      <c r="AW151" s="332">
        <v>-2.5</v>
      </c>
      <c r="AX151" s="332">
        <v>0</v>
      </c>
      <c r="AY151" s="332">
        <f t="shared" si="99"/>
        <v>-2.5</v>
      </c>
      <c r="AZ151" s="20"/>
      <c r="BA151" s="20"/>
      <c r="BB151" s="20"/>
      <c r="BC151" s="20"/>
      <c r="BD151" s="221" t="e">
        <f>-SUMIF(#REF!,'pôles &amp; actions'!$C151,#REF!)/1000</f>
        <v>#REF!</v>
      </c>
      <c r="BE151" s="221" t="e">
        <f>SUMIF(#REF!,'pôles &amp; actions'!$C151,#REF!)/1000</f>
        <v>#REF!</v>
      </c>
      <c r="BF151" s="221" t="e">
        <f t="shared" si="105"/>
        <v>#REF!</v>
      </c>
      <c r="BG151" s="221" t="e">
        <f t="shared" si="101"/>
        <v>#REF!</v>
      </c>
      <c r="BK151" s="345"/>
      <c r="BL151" s="345"/>
      <c r="BM151" s="345">
        <f t="shared" si="100"/>
        <v>0</v>
      </c>
      <c r="BN151" s="225"/>
    </row>
    <row r="152" spans="1:66" ht="15" customHeight="1" outlineLevel="2" collapsed="1" x14ac:dyDescent="0.25">
      <c r="A152" s="324">
        <v>142</v>
      </c>
      <c r="B152" s="385" t="s">
        <v>202</v>
      </c>
      <c r="C152" s="386" t="s">
        <v>203</v>
      </c>
      <c r="D152" s="37">
        <v>-7</v>
      </c>
      <c r="E152" s="37">
        <v>0</v>
      </c>
      <c r="F152" s="37">
        <f t="shared" si="102"/>
        <v>-7</v>
      </c>
      <c r="G152" s="38"/>
      <c r="H152" s="39"/>
      <c r="I152" s="37">
        <v>-6.1</v>
      </c>
      <c r="J152" s="37">
        <v>0.5</v>
      </c>
      <c r="K152" s="37">
        <f t="shared" si="107"/>
        <v>-5.6</v>
      </c>
      <c r="L152" s="38"/>
      <c r="M152" s="38"/>
      <c r="N152" s="37" t="e">
        <f>-SUMIF(#REF!,$C152,#REF!)/1000</f>
        <v>#REF!</v>
      </c>
      <c r="O152" s="37" t="e">
        <f>SUMIF(#REF!,$C152,#REF!)/1000</f>
        <v>#REF!</v>
      </c>
      <c r="P152" s="37" t="e">
        <f t="shared" si="108"/>
        <v>#REF!</v>
      </c>
      <c r="Q152" s="39"/>
      <c r="R152" s="159">
        <v>-7</v>
      </c>
      <c r="S152" s="159">
        <v>0</v>
      </c>
      <c r="T152" s="159">
        <f>R152+S152</f>
        <v>-7</v>
      </c>
      <c r="U152" s="37"/>
      <c r="V152" s="416">
        <v>-5.7320099999999998</v>
      </c>
      <c r="W152" s="416">
        <v>1.8249999999999999E-2</v>
      </c>
      <c r="X152" s="416">
        <f>SUM(V152:W152)</f>
        <v>-5.7137599999999997</v>
      </c>
      <c r="Y152" s="46"/>
      <c r="Z152" s="46"/>
      <c r="AA152" s="39"/>
      <c r="AB152" s="256">
        <v>-6</v>
      </c>
      <c r="AC152" s="256">
        <v>0</v>
      </c>
      <c r="AD152" s="256">
        <f>AB152+AC152</f>
        <v>-6</v>
      </c>
      <c r="AE152" s="193"/>
      <c r="AF152" s="199"/>
      <c r="AG152" s="194"/>
      <c r="AH152" s="195"/>
      <c r="AI152" s="148">
        <v>-2.9</v>
      </c>
      <c r="AJ152" s="148">
        <v>2.17</v>
      </c>
      <c r="AK152" s="148">
        <v>-0.73</v>
      </c>
      <c r="AL152" s="20"/>
      <c r="AM152" s="20"/>
      <c r="AN152" s="20"/>
      <c r="AO152" s="20"/>
      <c r="AP152" s="339">
        <v>-6</v>
      </c>
      <c r="AQ152" s="339"/>
      <c r="AR152" s="339">
        <f t="shared" si="104"/>
        <v>-6</v>
      </c>
      <c r="AS152" s="225"/>
      <c r="AT152" s="20"/>
      <c r="AU152" s="20" t="s">
        <v>548</v>
      </c>
      <c r="AV152" s="20"/>
      <c r="AW152" s="332">
        <v>-6</v>
      </c>
      <c r="AX152" s="332">
        <v>0</v>
      </c>
      <c r="AY152" s="332">
        <f t="shared" si="99"/>
        <v>-6</v>
      </c>
      <c r="AZ152" s="20"/>
      <c r="BA152" s="20"/>
      <c r="BB152" s="20"/>
      <c r="BC152" s="20"/>
      <c r="BD152" s="221" t="e">
        <f>-SUMIF(#REF!,'pôles &amp; actions'!$C152,#REF!)/1000</f>
        <v>#REF!</v>
      </c>
      <c r="BE152" s="221" t="e">
        <f>SUMIF(#REF!,'pôles &amp; actions'!$C152,#REF!)/1000</f>
        <v>#REF!</v>
      </c>
      <c r="BF152" s="221" t="e">
        <f t="shared" si="105"/>
        <v>#REF!</v>
      </c>
      <c r="BG152" s="221" t="e">
        <f t="shared" si="101"/>
        <v>#REF!</v>
      </c>
      <c r="BK152" s="345">
        <v>-6</v>
      </c>
      <c r="BL152" s="345"/>
      <c r="BM152" s="345">
        <f t="shared" si="100"/>
        <v>-6</v>
      </c>
      <c r="BN152" s="225"/>
    </row>
    <row r="153" spans="1:66" ht="15" customHeight="1" outlineLevel="1" x14ac:dyDescent="0.25">
      <c r="A153" s="324">
        <v>143</v>
      </c>
      <c r="B153" s="387" t="s">
        <v>204</v>
      </c>
      <c r="C153" s="388"/>
      <c r="D153" s="42">
        <f>SUM(D150:D152,D149,D146,D142,D140)</f>
        <v>-18</v>
      </c>
      <c r="E153" s="42">
        <f>SUM(E150:E152,E149,E146,E142,E140)</f>
        <v>12</v>
      </c>
      <c r="F153" s="42">
        <f>SUM(D153:E153)</f>
        <v>-6</v>
      </c>
      <c r="G153" s="38"/>
      <c r="H153" s="39"/>
      <c r="I153" s="42">
        <f>SUM(I150:I152)+I149+I146+I142+I140</f>
        <v>-18.869500000000002</v>
      </c>
      <c r="J153" s="42">
        <f>SUM(J150:J152)+J149+J146+J142+J140</f>
        <v>17.565999999999995</v>
      </c>
      <c r="K153" s="42">
        <f>SUM(K150:K152)+K149+K146+K142+K140</f>
        <v>-1.3035000000000032</v>
      </c>
      <c r="L153" s="38"/>
      <c r="M153" s="38"/>
      <c r="N153" s="42" t="e">
        <f>SUM(N150:N152,N149,N146,N142,N140)</f>
        <v>#REF!</v>
      </c>
      <c r="O153" s="42" t="e">
        <f>SUM(O150:O152,O149,O146,O142,O140)</f>
        <v>#REF!</v>
      </c>
      <c r="P153" s="42" t="e">
        <f>SUM(P150:P152,P149,P146,P142,P140)</f>
        <v>#REF!</v>
      </c>
      <c r="Q153" s="39"/>
      <c r="R153" s="92">
        <f>SUM(R150:R152,R149,R146,R142,R140)</f>
        <v>-15.67</v>
      </c>
      <c r="S153" s="92">
        <f>SUM(S150:S152,S149,S146,S142,S140)</f>
        <v>7.9</v>
      </c>
      <c r="T153" s="92">
        <f>SUM(T150:T152,T149,T146,T142,T140)</f>
        <v>-7.77</v>
      </c>
      <c r="U153" s="42"/>
      <c r="V153" s="410">
        <f>SUM(V150:V152,V149,V146,V142,V140)</f>
        <v>-17.576720000000002</v>
      </c>
      <c r="W153" s="410">
        <f>SUM(W150:W152,W149,W146,W142,W140)</f>
        <v>3.48359</v>
      </c>
      <c r="X153" s="410">
        <f>SUM(X150:X152,X149,X146,X142,X140)</f>
        <v>-14.09313</v>
      </c>
      <c r="Y153" s="67"/>
      <c r="Z153" s="67">
        <f t="shared" ref="Z153" si="110">SUM(Z150:Z152,Z149,Z146,Z142,Z140)</f>
        <v>0</v>
      </c>
      <c r="AA153" s="39"/>
      <c r="AB153" s="251">
        <f>SUM(AB150:AB152,AB149,AB146,AB142,AB140)</f>
        <v>-7.8</v>
      </c>
      <c r="AC153" s="252">
        <f>SUM(AC150:AC152,AC149,AC146,AC142,AC140)</f>
        <v>1</v>
      </c>
      <c r="AD153" s="238">
        <f>SUM(AD150:AD152,AD149,AD146,AD142,AD140)</f>
        <v>-6.8</v>
      </c>
      <c r="AE153" s="41"/>
      <c r="AF153" s="80"/>
      <c r="AG153" s="194"/>
      <c r="AH153" s="195"/>
      <c r="AI153" s="230">
        <f>SUM(AI150:AI152,AI149,AI146,AI142,AI140)</f>
        <v>-5.34945</v>
      </c>
      <c r="AJ153" s="230">
        <f>SUM(AJ150:AJ152,AJ149,AJ146,AJ142,AJ140)</f>
        <v>3.6251899999999999</v>
      </c>
      <c r="AK153" s="237">
        <f>AJ153+AI153</f>
        <v>-1.7242600000000001</v>
      </c>
      <c r="AL153" s="26"/>
      <c r="AM153" s="26"/>
      <c r="AN153" s="26"/>
      <c r="AO153" s="81"/>
      <c r="AP153" s="418">
        <f>SUM(AP150:AP152,AP149,AP146,AP142,AP140)</f>
        <v>-7.8</v>
      </c>
      <c r="AQ153" s="418">
        <f>SUM(AQ150:AQ152,AQ149,AQ146,AQ142,AQ140)</f>
        <v>2</v>
      </c>
      <c r="AR153" s="418">
        <f t="shared" si="104"/>
        <v>-5.8</v>
      </c>
      <c r="AS153" s="225"/>
      <c r="AT153" s="20"/>
      <c r="AU153" s="20"/>
      <c r="AV153" s="20"/>
      <c r="AW153" s="433">
        <f>SUM(AW150:AW152,AW149,AW146,AW142,AW140)</f>
        <v>-10.34398</v>
      </c>
      <c r="AX153" s="433">
        <f>SUM(AX150:AX152,AX149,AX146,AX142,AX140)</f>
        <v>29.483959999999996</v>
      </c>
      <c r="AY153" s="434">
        <f t="shared" si="99"/>
        <v>19.139979999999994</v>
      </c>
      <c r="AZ153" s="20"/>
      <c r="BA153" s="20"/>
      <c r="BB153" s="20"/>
      <c r="BC153" s="20"/>
      <c r="BD153" s="227" t="e">
        <f>SUM(BD150:BD152,BD149,BD146,BD142,BD140)</f>
        <v>#REF!</v>
      </c>
      <c r="BE153" s="227" t="e">
        <f>SUM(BE150:BE152,BE149,BE146,BE142,BE140)</f>
        <v>#REF!</v>
      </c>
      <c r="BF153" s="227" t="e">
        <f t="shared" si="105"/>
        <v>#REF!</v>
      </c>
      <c r="BG153" s="221" t="e">
        <f t="shared" si="101"/>
        <v>#REF!</v>
      </c>
      <c r="BK153" s="436">
        <f>SUM(BK150:BK152,BK149,BK146,BK142,BK140)</f>
        <v>-7.5</v>
      </c>
      <c r="BL153" s="436">
        <f>SUM(BL150:BL152,BL149,BL146,BL142,BL140)</f>
        <v>2</v>
      </c>
      <c r="BM153" s="436">
        <f t="shared" si="100"/>
        <v>-5.5</v>
      </c>
      <c r="BN153" s="225"/>
    </row>
    <row r="154" spans="1:66" ht="15" customHeight="1" x14ac:dyDescent="0.25">
      <c r="A154" s="324">
        <v>144</v>
      </c>
      <c r="B154" s="390"/>
      <c r="C154" s="39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2"/>
      <c r="O154" s="102"/>
      <c r="P154" s="102"/>
      <c r="R154" s="601"/>
      <c r="S154" s="601"/>
      <c r="T154" s="601"/>
      <c r="V154" s="602"/>
      <c r="W154" s="602"/>
      <c r="X154" s="602"/>
      <c r="Y154" s="34"/>
      <c r="Z154" s="125"/>
      <c r="AB154" s="603"/>
      <c r="AC154" s="603"/>
      <c r="AD154" s="603"/>
      <c r="AE154" s="203"/>
      <c r="AF154" s="199"/>
      <c r="AG154" s="194"/>
      <c r="AH154" s="195"/>
      <c r="AI154" s="611"/>
      <c r="AJ154" s="611"/>
      <c r="AK154" s="611"/>
      <c r="AL154" s="20"/>
      <c r="AM154" s="20"/>
      <c r="AN154" s="20"/>
      <c r="AO154" s="20"/>
      <c r="AP154" s="607"/>
      <c r="AQ154" s="607"/>
      <c r="AR154" s="607"/>
      <c r="AS154" s="225"/>
      <c r="AT154" s="20"/>
      <c r="AU154" s="20"/>
      <c r="AV154" s="20"/>
      <c r="AW154" s="597"/>
      <c r="AX154" s="597"/>
      <c r="AY154" s="597"/>
      <c r="AZ154" s="20"/>
      <c r="BA154" s="20"/>
      <c r="BB154" s="20"/>
      <c r="BC154" s="20"/>
      <c r="BD154" s="599"/>
      <c r="BE154" s="599"/>
      <c r="BF154" s="599"/>
      <c r="BG154" s="221">
        <f t="shared" si="101"/>
        <v>0</v>
      </c>
      <c r="BK154" s="594"/>
      <c r="BL154" s="594"/>
      <c r="BM154" s="594"/>
      <c r="BN154" s="225"/>
    </row>
    <row r="155" spans="1:66" ht="15" customHeight="1" x14ac:dyDescent="0.25">
      <c r="A155" s="324">
        <v>145</v>
      </c>
      <c r="B155" s="396" t="str">
        <f>B$4</f>
        <v>en k€</v>
      </c>
      <c r="C155" s="384"/>
      <c r="D155" s="43" t="s">
        <v>8</v>
      </c>
      <c r="E155" s="43" t="s">
        <v>9</v>
      </c>
      <c r="F155" s="43" t="s">
        <v>64</v>
      </c>
      <c r="G155" s="38"/>
      <c r="H155" s="39"/>
      <c r="I155" s="43" t="s">
        <v>8</v>
      </c>
      <c r="J155" s="43" t="s">
        <v>9</v>
      </c>
      <c r="K155" s="44" t="str">
        <f>K$4</f>
        <v>2018a</v>
      </c>
      <c r="L155" s="38"/>
      <c r="M155" s="38"/>
      <c r="N155" s="43" t="s">
        <v>8</v>
      </c>
      <c r="O155" s="43" t="s">
        <v>9</v>
      </c>
      <c r="P155" s="44" t="str">
        <f>P$4</f>
        <v>2019a</v>
      </c>
      <c r="Q155" s="39"/>
      <c r="R155" s="93" t="s">
        <v>8</v>
      </c>
      <c r="S155" s="93" t="s">
        <v>9</v>
      </c>
      <c r="T155" s="93" t="s">
        <v>64</v>
      </c>
      <c r="U155" s="43"/>
      <c r="V155" s="411" t="s">
        <v>8</v>
      </c>
      <c r="W155" s="411" t="s">
        <v>9</v>
      </c>
      <c r="X155" s="412" t="str">
        <f>X$4</f>
        <v>2020a</v>
      </c>
      <c r="Y155" s="80"/>
      <c r="Z155" s="80"/>
      <c r="AA155" s="39"/>
      <c r="AB155" s="235" t="s">
        <v>8</v>
      </c>
      <c r="AC155" s="235" t="s">
        <v>9</v>
      </c>
      <c r="AD155" s="236" t="str">
        <f>AD$4</f>
        <v>résultat</v>
      </c>
      <c r="AE155" s="192"/>
      <c r="AF155" s="199"/>
      <c r="AI155" s="140" t="s">
        <v>8</v>
      </c>
      <c r="AJ155" s="140" t="s">
        <v>9</v>
      </c>
      <c r="AK155" s="95" t="s">
        <v>64</v>
      </c>
      <c r="AL155" s="20"/>
      <c r="AM155" s="20"/>
      <c r="AN155" s="20"/>
      <c r="AO155" s="20"/>
      <c r="AP155" s="422" t="s">
        <v>8</v>
      </c>
      <c r="AQ155" s="422" t="s">
        <v>9</v>
      </c>
      <c r="AR155" s="423" t="str">
        <f>AR$4</f>
        <v>résultat</v>
      </c>
      <c r="AS155" s="225"/>
      <c r="AT155" s="20"/>
      <c r="AU155" s="20"/>
      <c r="AV155" s="20"/>
      <c r="AW155" s="431" t="s">
        <v>8</v>
      </c>
      <c r="AX155" s="431" t="s">
        <v>9</v>
      </c>
      <c r="AY155" s="432" t="s">
        <v>64</v>
      </c>
      <c r="AZ155" s="20"/>
      <c r="BA155" s="20"/>
      <c r="BB155" s="20"/>
      <c r="BC155" s="20"/>
      <c r="BD155" s="233" t="s">
        <v>8</v>
      </c>
      <c r="BE155" s="233" t="s">
        <v>9</v>
      </c>
      <c r="BF155" s="234" t="str">
        <f>BF$4</f>
        <v>résultat</v>
      </c>
      <c r="BG155" s="221"/>
      <c r="BK155" s="440" t="s">
        <v>8</v>
      </c>
      <c r="BL155" s="440" t="s">
        <v>9</v>
      </c>
      <c r="BM155" s="441" t="str">
        <f>BM$4</f>
        <v>résultat</v>
      </c>
      <c r="BN155" s="225"/>
    </row>
    <row r="156" spans="1:66" ht="15" customHeight="1" outlineLevel="1" x14ac:dyDescent="0.25">
      <c r="A156" s="324">
        <v>146</v>
      </c>
      <c r="B156" s="385" t="s">
        <v>205</v>
      </c>
      <c r="C156" s="386" t="s">
        <v>206</v>
      </c>
      <c r="D156" s="37">
        <v>-35</v>
      </c>
      <c r="E156" s="37"/>
      <c r="F156" s="37">
        <f>SUM(D156:E156)</f>
        <v>-35</v>
      </c>
      <c r="G156" s="38"/>
      <c r="H156" s="39"/>
      <c r="I156" s="37">
        <v>-19.05</v>
      </c>
      <c r="J156" s="37">
        <v>0</v>
      </c>
      <c r="K156" s="37">
        <f>SUM(I156:J156)</f>
        <v>-19.05</v>
      </c>
      <c r="L156" s="38"/>
      <c r="M156" s="38"/>
      <c r="N156" s="37" t="e">
        <f>-SUMIF(#REF!,$C156,#REF!)/1000</f>
        <v>#REF!</v>
      </c>
      <c r="O156" s="37" t="e">
        <f>SUMIF(#REF!,$C156,#REF!)/1000</f>
        <v>#REF!</v>
      </c>
      <c r="P156" s="37" t="e">
        <f>N156+O156</f>
        <v>#REF!</v>
      </c>
      <c r="Q156" s="39"/>
      <c r="R156" s="156">
        <v>-22</v>
      </c>
      <c r="S156" s="156">
        <v>0</v>
      </c>
      <c r="T156" s="156">
        <f>R156+S156</f>
        <v>-22</v>
      </c>
      <c r="U156" s="37"/>
      <c r="V156" s="406">
        <v>-21.427</v>
      </c>
      <c r="W156" s="406">
        <v>0</v>
      </c>
      <c r="X156" s="406">
        <f>SUM(V156:W156)</f>
        <v>-21.427</v>
      </c>
      <c r="Y156" s="46"/>
      <c r="Z156" s="131" t="s">
        <v>414</v>
      </c>
      <c r="AA156" s="39"/>
      <c r="AB156" s="247">
        <v>-22</v>
      </c>
      <c r="AC156" s="247">
        <v>0</v>
      </c>
      <c r="AD156" s="247">
        <f>AB156+AC156</f>
        <v>-22</v>
      </c>
      <c r="AE156" s="193"/>
      <c r="AF156" s="199"/>
      <c r="AG156" s="194"/>
      <c r="AH156" s="195"/>
      <c r="AI156" s="148">
        <v>-21.812000000000001</v>
      </c>
      <c r="AJ156" s="148">
        <v>0</v>
      </c>
      <c r="AK156" s="148">
        <v>-21.812000000000001</v>
      </c>
      <c r="AL156" s="20"/>
      <c r="AM156" s="20"/>
      <c r="AN156" s="20"/>
      <c r="AO156" s="20"/>
      <c r="AP156" s="339">
        <v>-22</v>
      </c>
      <c r="AQ156" s="339"/>
      <c r="AR156" s="339">
        <f t="shared" si="104"/>
        <v>-22</v>
      </c>
      <c r="AS156" s="225"/>
      <c r="AT156" s="269">
        <v>22</v>
      </c>
      <c r="AU156" s="20"/>
      <c r="AV156" s="20"/>
      <c r="AW156" s="332">
        <v>-23.674900000000001</v>
      </c>
      <c r="AX156" s="332">
        <v>0</v>
      </c>
      <c r="AY156" s="332">
        <f t="shared" ref="AY156:AY174" si="111">AX156+AW156</f>
        <v>-23.674900000000001</v>
      </c>
      <c r="AZ156" s="20"/>
      <c r="BA156" s="20"/>
      <c r="BB156" s="20"/>
      <c r="BC156" s="20"/>
      <c r="BD156" s="221" t="e">
        <f>-SUMIF(#REF!,'pôles &amp; actions'!$C156,#REF!)/1000</f>
        <v>#REF!</v>
      </c>
      <c r="BE156" s="221" t="e">
        <f>SUMIF(#REF!,'pôles &amp; actions'!$C156,#REF!)/1000</f>
        <v>#REF!</v>
      </c>
      <c r="BF156" s="221" t="e">
        <f t="shared" si="105"/>
        <v>#REF!</v>
      </c>
      <c r="BG156" s="221" t="e">
        <f t="shared" si="101"/>
        <v>#REF!</v>
      </c>
      <c r="BK156" s="345">
        <v>-25</v>
      </c>
      <c r="BL156" s="345"/>
      <c r="BM156" s="345">
        <f t="shared" ref="BM156:BM174" si="112">BK156+BL156</f>
        <v>-25</v>
      </c>
      <c r="BN156" s="225"/>
    </row>
    <row r="157" spans="1:66" ht="15" customHeight="1" outlineLevel="1" x14ac:dyDescent="0.25">
      <c r="A157" s="324">
        <v>147</v>
      </c>
      <c r="B157" s="385" t="s">
        <v>602</v>
      </c>
      <c r="C157" s="386" t="s">
        <v>601</v>
      </c>
      <c r="D157" s="37"/>
      <c r="E157" s="37"/>
      <c r="F157" s="37"/>
      <c r="G157" s="38"/>
      <c r="H157" s="39"/>
      <c r="I157" s="37"/>
      <c r="J157" s="37"/>
      <c r="K157" s="37"/>
      <c r="L157" s="38"/>
      <c r="M157" s="38"/>
      <c r="N157" s="37"/>
      <c r="O157" s="37"/>
      <c r="P157" s="37"/>
      <c r="Q157" s="39"/>
      <c r="R157" s="319"/>
      <c r="S157" s="319"/>
      <c r="T157" s="319"/>
      <c r="U157" s="37"/>
      <c r="V157" s="417"/>
      <c r="W157" s="417"/>
      <c r="X157" s="417"/>
      <c r="Y157" s="46"/>
      <c r="Z157" s="131"/>
      <c r="AA157" s="39"/>
      <c r="AB157" s="293"/>
      <c r="AC157" s="293"/>
      <c r="AD157" s="293"/>
      <c r="AE157" s="193"/>
      <c r="AF157" s="199"/>
      <c r="AG157" s="194"/>
      <c r="AH157" s="195"/>
      <c r="AI157" s="148"/>
      <c r="AJ157" s="148"/>
      <c r="AK157" s="148"/>
      <c r="AL157" s="20"/>
      <c r="AM157" s="20"/>
      <c r="AN157" s="20"/>
      <c r="AO157" s="20"/>
      <c r="AP157" s="339">
        <v>0</v>
      </c>
      <c r="AQ157" s="339">
        <v>0</v>
      </c>
      <c r="AR157" s="339">
        <f t="shared" si="104"/>
        <v>0</v>
      </c>
      <c r="AS157" s="225"/>
      <c r="AT157" s="269"/>
      <c r="AU157" s="20"/>
      <c r="AV157" s="20"/>
      <c r="AW157" s="332">
        <v>-2.5994999999999999</v>
      </c>
      <c r="AX157" s="332">
        <v>0</v>
      </c>
      <c r="AY157" s="332"/>
      <c r="AZ157" s="20"/>
      <c r="BA157" s="20"/>
      <c r="BB157" s="20"/>
      <c r="BC157" s="20"/>
      <c r="BD157" s="221" t="e">
        <f>-SUMIF(#REF!,'pôles &amp; actions'!$C157,#REF!)/1000</f>
        <v>#REF!</v>
      </c>
      <c r="BE157" s="221" t="e">
        <f>SUMIF(#REF!,'pôles &amp; actions'!$C157,#REF!)/1000</f>
        <v>#REF!</v>
      </c>
      <c r="BF157" s="221" t="e">
        <f t="shared" si="105"/>
        <v>#REF!</v>
      </c>
      <c r="BG157" s="221" t="e">
        <f t="shared" si="101"/>
        <v>#REF!</v>
      </c>
      <c r="BK157" s="345"/>
      <c r="BL157" s="345"/>
      <c r="BM157" s="345">
        <f t="shared" si="112"/>
        <v>0</v>
      </c>
      <c r="BN157" s="225"/>
    </row>
    <row r="158" spans="1:66" ht="15" customHeight="1" outlineLevel="1" x14ac:dyDescent="0.25">
      <c r="A158" s="324">
        <v>148</v>
      </c>
      <c r="B158" s="385" t="s">
        <v>49</v>
      </c>
      <c r="C158" s="386" t="s">
        <v>207</v>
      </c>
      <c r="D158" s="37"/>
      <c r="E158" s="37"/>
      <c r="F158" s="37"/>
      <c r="G158" s="38"/>
      <c r="H158" s="39"/>
      <c r="I158" s="37"/>
      <c r="J158" s="37"/>
      <c r="K158" s="37">
        <v>0</v>
      </c>
      <c r="L158" s="38"/>
      <c r="M158" s="38"/>
      <c r="N158" s="37" t="e">
        <f>-SUMIF(#REF!,$C158,#REF!)/1000</f>
        <v>#REF!</v>
      </c>
      <c r="O158" s="37" t="e">
        <f>SUMIF(#REF!,$C158,#REF!)/1000</f>
        <v>#REF!</v>
      </c>
      <c r="P158" s="37" t="e">
        <f>N158+O158</f>
        <v>#REF!</v>
      </c>
      <c r="Q158" s="39"/>
      <c r="R158" s="157">
        <v>-1.5</v>
      </c>
      <c r="S158" s="157">
        <v>0</v>
      </c>
      <c r="T158" s="157">
        <f>R158+S158</f>
        <v>-1.5</v>
      </c>
      <c r="U158" s="37"/>
      <c r="V158" s="407">
        <v>-8.0576000000000008</v>
      </c>
      <c r="W158" s="407">
        <v>5.8280000000000003</v>
      </c>
      <c r="X158" s="407">
        <f>SUM(V158:W158)</f>
        <v>-2.2296000000000005</v>
      </c>
      <c r="Y158" s="46"/>
      <c r="Z158" s="131" t="s">
        <v>414</v>
      </c>
      <c r="AA158" s="39"/>
      <c r="AB158" s="248">
        <v>-1.5</v>
      </c>
      <c r="AC158" s="248">
        <v>0</v>
      </c>
      <c r="AD158" s="248">
        <f>AB158+AC158</f>
        <v>-1.5</v>
      </c>
      <c r="AE158" s="193"/>
      <c r="AF158" s="199"/>
      <c r="AG158" s="194"/>
      <c r="AH158" s="195"/>
      <c r="AI158" s="148">
        <v>0</v>
      </c>
      <c r="AJ158" s="148">
        <v>0.26600000000000001</v>
      </c>
      <c r="AK158" s="148">
        <v>0.26600000000000001</v>
      </c>
      <c r="AL158" s="20"/>
      <c r="AM158" s="20"/>
      <c r="AN158" s="20"/>
      <c r="AO158" s="20"/>
      <c r="AP158" s="339">
        <v>-5</v>
      </c>
      <c r="AQ158" s="339"/>
      <c r="AR158" s="339">
        <f t="shared" si="104"/>
        <v>-5</v>
      </c>
      <c r="AS158" s="225"/>
      <c r="AT158" s="269">
        <v>5</v>
      </c>
      <c r="AU158" s="20" t="s">
        <v>521</v>
      </c>
      <c r="AV158" s="20"/>
      <c r="AW158" s="332">
        <v>-0.74690000000000001</v>
      </c>
      <c r="AX158" s="332">
        <v>0.54900000000000004</v>
      </c>
      <c r="AY158" s="332">
        <f t="shared" si="111"/>
        <v>-0.19789999999999996</v>
      </c>
      <c r="AZ158" s="20"/>
      <c r="BA158" s="20"/>
      <c r="BB158" s="20"/>
      <c r="BC158" s="20"/>
      <c r="BD158" s="221" t="e">
        <f>-SUMIF(#REF!,'pôles &amp; actions'!$C158,#REF!)/1000</f>
        <v>#REF!</v>
      </c>
      <c r="BE158" s="221" t="e">
        <f>SUMIF(#REF!,'pôles &amp; actions'!$C158,#REF!)/1000</f>
        <v>#REF!</v>
      </c>
      <c r="BF158" s="221" t="e">
        <f t="shared" si="105"/>
        <v>#REF!</v>
      </c>
      <c r="BG158" s="221" t="e">
        <f t="shared" si="101"/>
        <v>#REF!</v>
      </c>
      <c r="BK158" s="345">
        <v>-5</v>
      </c>
      <c r="BL158" s="345"/>
      <c r="BM158" s="345">
        <f t="shared" si="112"/>
        <v>-5</v>
      </c>
      <c r="BN158" s="225"/>
    </row>
    <row r="159" spans="1:66" ht="15" customHeight="1" outlineLevel="1" x14ac:dyDescent="0.25">
      <c r="A159" s="324">
        <v>149</v>
      </c>
      <c r="B159" s="385" t="s">
        <v>208</v>
      </c>
      <c r="C159" s="386" t="s">
        <v>209</v>
      </c>
      <c r="D159" s="37"/>
      <c r="E159" s="37"/>
      <c r="F159" s="37"/>
      <c r="G159" s="38"/>
      <c r="H159" s="39"/>
      <c r="I159" s="37">
        <v>-23.95</v>
      </c>
      <c r="J159" s="37">
        <v>11.9</v>
      </c>
      <c r="K159" s="37">
        <f>SUM(I159:J159)</f>
        <v>-12.049999999999999</v>
      </c>
      <c r="L159" s="38"/>
      <c r="M159" s="38"/>
      <c r="N159" s="37" t="e">
        <f>-SUMIF(#REF!,$C159,#REF!)/1000</f>
        <v>#REF!</v>
      </c>
      <c r="O159" s="37" t="e">
        <f>SUMIF(#REF!,$C159,#REF!)/1000</f>
        <v>#REF!</v>
      </c>
      <c r="P159" s="37" t="e">
        <f>N159+O159</f>
        <v>#REF!</v>
      </c>
      <c r="Q159" s="39"/>
      <c r="R159" s="157">
        <v>-7</v>
      </c>
      <c r="S159" s="157">
        <v>0</v>
      </c>
      <c r="T159" s="157">
        <f>R159+S159</f>
        <v>-7</v>
      </c>
      <c r="U159" s="37"/>
      <c r="V159" s="407">
        <v>-6.79</v>
      </c>
      <c r="W159" s="407">
        <v>0</v>
      </c>
      <c r="X159" s="407">
        <f>SUM(V159:W159)</f>
        <v>-6.79</v>
      </c>
      <c r="Y159" s="46"/>
      <c r="Z159" s="131" t="s">
        <v>414</v>
      </c>
      <c r="AA159" s="39"/>
      <c r="AB159" s="248">
        <v>-7</v>
      </c>
      <c r="AC159" s="248">
        <v>0</v>
      </c>
      <c r="AD159" s="248">
        <f>AB159+AC159</f>
        <v>-7</v>
      </c>
      <c r="AE159" s="193"/>
      <c r="AF159" s="199"/>
      <c r="AG159" s="194"/>
      <c r="AH159" s="195"/>
      <c r="AI159" s="148">
        <v>-7.08</v>
      </c>
      <c r="AJ159" s="148">
        <v>9.8000000000000004E-2</v>
      </c>
      <c r="AK159" s="148">
        <v>-6.9820000000000002</v>
      </c>
      <c r="AL159" s="20"/>
      <c r="AM159" s="20"/>
      <c r="AN159" s="20"/>
      <c r="AO159" s="20"/>
      <c r="AP159" s="339">
        <v>-8</v>
      </c>
      <c r="AQ159" s="339"/>
      <c r="AR159" s="339">
        <f t="shared" si="104"/>
        <v>-8</v>
      </c>
      <c r="AS159" s="225"/>
      <c r="AT159" s="269">
        <v>8</v>
      </c>
      <c r="AW159" s="332">
        <v>-7.5839999999999996</v>
      </c>
      <c r="AX159" s="332">
        <v>0</v>
      </c>
      <c r="AY159" s="332">
        <f t="shared" si="111"/>
        <v>-7.5839999999999996</v>
      </c>
      <c r="BC159" s="20"/>
      <c r="BD159" s="221" t="e">
        <f>-SUMIF(#REF!,'pôles &amp; actions'!$C159,#REF!)/1000</f>
        <v>#REF!</v>
      </c>
      <c r="BE159" s="221" t="e">
        <f>SUMIF(#REF!,'pôles &amp; actions'!$C159,#REF!)/1000</f>
        <v>#REF!</v>
      </c>
      <c r="BF159" s="221" t="e">
        <f t="shared" si="105"/>
        <v>#REF!</v>
      </c>
      <c r="BG159" s="221" t="e">
        <f t="shared" si="101"/>
        <v>#REF!</v>
      </c>
      <c r="BK159" s="345">
        <v>-8</v>
      </c>
      <c r="BL159" s="345"/>
      <c r="BM159" s="345">
        <f t="shared" si="112"/>
        <v>-8</v>
      </c>
      <c r="BN159" s="225"/>
    </row>
    <row r="160" spans="1:66" ht="15" customHeight="1" outlineLevel="1" x14ac:dyDescent="0.25">
      <c r="A160" s="324">
        <v>150</v>
      </c>
      <c r="B160" s="385" t="s">
        <v>210</v>
      </c>
      <c r="C160" s="386" t="s">
        <v>211</v>
      </c>
      <c r="D160" s="37"/>
      <c r="E160" s="37"/>
      <c r="F160" s="37"/>
      <c r="G160" s="38"/>
      <c r="H160" s="39"/>
      <c r="I160" s="37">
        <v>-11.8</v>
      </c>
      <c r="J160" s="37">
        <v>0</v>
      </c>
      <c r="K160" s="37">
        <f>SUM(I160:J160)</f>
        <v>-11.8</v>
      </c>
      <c r="L160" s="38"/>
      <c r="M160" s="38"/>
      <c r="N160" s="37" t="e">
        <f>-SUMIF(#REF!,$C160,#REF!)/1000</f>
        <v>#REF!</v>
      </c>
      <c r="O160" s="37" t="e">
        <f>SUMIF(#REF!,$C160,#REF!)/1000</f>
        <v>#REF!</v>
      </c>
      <c r="P160" s="37" t="e">
        <f>N160+O160</f>
        <v>#REF!</v>
      </c>
      <c r="Q160" s="39"/>
      <c r="R160" s="157">
        <v>-8</v>
      </c>
      <c r="S160" s="157">
        <v>0</v>
      </c>
      <c r="T160" s="157">
        <f>R160+S160</f>
        <v>-8</v>
      </c>
      <c r="U160" s="37"/>
      <c r="V160" s="407">
        <v>-10.95674</v>
      </c>
      <c r="W160" s="407">
        <v>0</v>
      </c>
      <c r="X160" s="407">
        <f>SUM(V160:W160)</f>
        <v>-10.95674</v>
      </c>
      <c r="Y160" s="46"/>
      <c r="Z160" s="131" t="s">
        <v>414</v>
      </c>
      <c r="AA160" s="39"/>
      <c r="AB160" s="248">
        <v>-12</v>
      </c>
      <c r="AC160" s="248">
        <v>0</v>
      </c>
      <c r="AD160" s="248">
        <f>AB160+AC160</f>
        <v>-12</v>
      </c>
      <c r="AE160" s="193"/>
      <c r="AF160" s="199"/>
      <c r="AG160" s="194"/>
      <c r="AH160" s="195"/>
      <c r="AI160" s="148">
        <v>-10.863</v>
      </c>
      <c r="AJ160" s="148">
        <v>0</v>
      </c>
      <c r="AK160" s="148">
        <v>-10.863</v>
      </c>
      <c r="AL160" s="20"/>
      <c r="AM160" s="20"/>
      <c r="AN160" s="20"/>
      <c r="AO160" s="20"/>
      <c r="AP160" s="339">
        <v>-11</v>
      </c>
      <c r="AQ160" s="339"/>
      <c r="AR160" s="339">
        <f t="shared" si="104"/>
        <v>-11</v>
      </c>
      <c r="AS160" s="225"/>
      <c r="AT160" s="269">
        <v>11</v>
      </c>
      <c r="AU160" s="20" t="s">
        <v>520</v>
      </c>
      <c r="AV160" s="20"/>
      <c r="AW160" s="332">
        <v>-17.946000000000002</v>
      </c>
      <c r="AX160" s="332">
        <v>0</v>
      </c>
      <c r="AY160" s="332">
        <f t="shared" si="111"/>
        <v>-17.946000000000002</v>
      </c>
      <c r="AZ160" s="20"/>
      <c r="BA160" s="20"/>
      <c r="BB160" s="20"/>
      <c r="BC160" s="20"/>
      <c r="BD160" s="221" t="e">
        <f>-SUMIF(#REF!,'pôles &amp; actions'!$C160,#REF!)/1000</f>
        <v>#REF!</v>
      </c>
      <c r="BE160" s="221" t="e">
        <f>SUMIF(#REF!,'pôles &amp; actions'!$C160,#REF!)/1000</f>
        <v>#REF!</v>
      </c>
      <c r="BF160" s="221" t="e">
        <f t="shared" si="105"/>
        <v>#REF!</v>
      </c>
      <c r="BG160" s="221" t="e">
        <f t="shared" si="101"/>
        <v>#REF!</v>
      </c>
      <c r="BK160" s="345">
        <v>-14</v>
      </c>
      <c r="BL160" s="345"/>
      <c r="BM160" s="345">
        <f t="shared" si="112"/>
        <v>-14</v>
      </c>
      <c r="BN160" s="225"/>
    </row>
    <row r="161" spans="1:66" ht="15" customHeight="1" outlineLevel="1" x14ac:dyDescent="0.25">
      <c r="A161" s="324">
        <v>151</v>
      </c>
      <c r="B161" s="392" t="s">
        <v>212</v>
      </c>
      <c r="C161" s="393"/>
      <c r="D161" s="41">
        <f>D156</f>
        <v>-35</v>
      </c>
      <c r="E161" s="41">
        <f>E156</f>
        <v>0</v>
      </c>
      <c r="F161" s="41">
        <f>SUM(D161:E161)</f>
        <v>-35</v>
      </c>
      <c r="G161" s="38"/>
      <c r="H161" s="39"/>
      <c r="I161" s="41">
        <f>SUM(I156:I160)</f>
        <v>-54.8</v>
      </c>
      <c r="J161" s="41">
        <f>SUM(J156:J160)</f>
        <v>11.9</v>
      </c>
      <c r="K161" s="41">
        <f>SUM(I161:J161)</f>
        <v>-42.9</v>
      </c>
      <c r="L161" s="38"/>
      <c r="M161" s="38"/>
      <c r="N161" s="41" t="e">
        <f>SUM(N156:N160)</f>
        <v>#REF!</v>
      </c>
      <c r="O161" s="41" t="e">
        <f>SUM(O156:O160)</f>
        <v>#REF!</v>
      </c>
      <c r="P161" s="41" t="e">
        <f>SUM(P156:P160)</f>
        <v>#REF!</v>
      </c>
      <c r="Q161" s="39"/>
      <c r="R161" s="158">
        <f>SUM(R156:R160)</f>
        <v>-38.5</v>
      </c>
      <c r="S161" s="158">
        <f>SUM(S156:S160)</f>
        <v>0</v>
      </c>
      <c r="T161" s="158">
        <f>SUM(T156:T160)</f>
        <v>-38.5</v>
      </c>
      <c r="U161" s="41"/>
      <c r="V161" s="408">
        <f>SUM(V156:V160)</f>
        <v>-47.231340000000003</v>
      </c>
      <c r="W161" s="408">
        <f>SUM(W156:W160)</f>
        <v>5.8280000000000003</v>
      </c>
      <c r="X161" s="408">
        <f>SUM(X156:X160)</f>
        <v>-41.40334</v>
      </c>
      <c r="Y161" s="80"/>
      <c r="Z161" s="80">
        <f t="shared" ref="Z161" si="113">SUM(Z156:Z160)</f>
        <v>0</v>
      </c>
      <c r="AA161" s="39"/>
      <c r="AB161" s="249">
        <f>SUM(AB156:AB160)</f>
        <v>-42.5</v>
      </c>
      <c r="AC161" s="249">
        <f>SUM(AC156:AC160)</f>
        <v>0</v>
      </c>
      <c r="AD161" s="249">
        <f>SUM(AD156:AD160)</f>
        <v>-42.5</v>
      </c>
      <c r="AE161" s="41"/>
      <c r="AF161" s="80"/>
      <c r="AG161" s="194"/>
      <c r="AH161" s="195"/>
      <c r="AI161" s="149">
        <f>SUM(AI156:AI160)</f>
        <v>-39.755000000000003</v>
      </c>
      <c r="AJ161" s="149">
        <f>SUM(AJ156:AJ160)</f>
        <v>0.36399999999999999</v>
      </c>
      <c r="AK161" s="149">
        <f>AJ161+AI161</f>
        <v>-39.391000000000005</v>
      </c>
      <c r="AL161" s="81"/>
      <c r="AM161" s="81"/>
      <c r="AN161" s="81"/>
      <c r="AO161" s="81"/>
      <c r="AP161" s="340">
        <f>SUM(AP156:AP160)</f>
        <v>-46</v>
      </c>
      <c r="AQ161" s="340">
        <f>SUM(AQ156:AQ160)</f>
        <v>0</v>
      </c>
      <c r="AR161" s="340">
        <f t="shared" si="104"/>
        <v>-46</v>
      </c>
      <c r="AS161" s="226"/>
      <c r="AT161" s="272">
        <v>46</v>
      </c>
      <c r="AU161" s="81"/>
      <c r="AV161" s="81"/>
      <c r="AW161" s="333">
        <f>SUM(AW156:AW160)</f>
        <v>-52.551299999999998</v>
      </c>
      <c r="AX161" s="333">
        <f>SUM(AX156:AX160)</f>
        <v>0.54900000000000004</v>
      </c>
      <c r="AY161" s="333">
        <f t="shared" si="111"/>
        <v>-52.002299999999998</v>
      </c>
      <c r="AZ161" s="81"/>
      <c r="BA161" s="81"/>
      <c r="BB161" s="81"/>
      <c r="BC161" s="81"/>
      <c r="BD161" s="227" t="e">
        <f>SUM(BD156:BD160)</f>
        <v>#REF!</v>
      </c>
      <c r="BE161" s="227" t="e">
        <f>SUM(BE156:BE160)</f>
        <v>#REF!</v>
      </c>
      <c r="BF161" s="227" t="e">
        <f t="shared" si="105"/>
        <v>#REF!</v>
      </c>
      <c r="BG161" s="221" t="e">
        <f t="shared" si="101"/>
        <v>#REF!</v>
      </c>
      <c r="BK161" s="346">
        <f>SUM(BK156:BK160)</f>
        <v>-52</v>
      </c>
      <c r="BL161" s="346">
        <f>SUM(BL156:BL160)</f>
        <v>0</v>
      </c>
      <c r="BM161" s="346">
        <f t="shared" si="112"/>
        <v>-52</v>
      </c>
      <c r="BN161" s="226"/>
    </row>
    <row r="162" spans="1:66" ht="15" customHeight="1" outlineLevel="1" x14ac:dyDescent="0.25">
      <c r="A162" s="324">
        <v>152</v>
      </c>
      <c r="B162" s="385" t="s">
        <v>39</v>
      </c>
      <c r="C162" s="386" t="s">
        <v>213</v>
      </c>
      <c r="D162" s="37"/>
      <c r="E162" s="37"/>
      <c r="F162" s="37"/>
      <c r="G162" s="38"/>
      <c r="H162" s="39"/>
      <c r="I162" s="37"/>
      <c r="J162" s="37"/>
      <c r="K162" s="37">
        <v>0</v>
      </c>
      <c r="L162" s="38"/>
      <c r="M162" s="38"/>
      <c r="N162" s="37" t="e">
        <f>-SUMIF(#REF!,$C162,#REF!)/1000</f>
        <v>#REF!</v>
      </c>
      <c r="O162" s="37" t="e">
        <f>SUMIF(#REF!,$C162,#REF!)/1000</f>
        <v>#REF!</v>
      </c>
      <c r="P162" s="37" t="e">
        <f t="shared" ref="P162:P171" si="114">N162+O162</f>
        <v>#REF!</v>
      </c>
      <c r="Q162" s="39"/>
      <c r="R162" s="157">
        <v>-1.3</v>
      </c>
      <c r="S162" s="157">
        <v>0</v>
      </c>
      <c r="T162" s="157">
        <f t="shared" ref="T162:T167" si="115">R162+S162</f>
        <v>-1.3</v>
      </c>
      <c r="U162" s="37"/>
      <c r="V162" s="407">
        <v>0</v>
      </c>
      <c r="W162" s="407">
        <v>0</v>
      </c>
      <c r="X162" s="407">
        <f>SUM(V162:W162)</f>
        <v>0</v>
      </c>
      <c r="Y162" s="46"/>
      <c r="Z162" s="131" t="s">
        <v>414</v>
      </c>
      <c r="AA162" s="39"/>
      <c r="AB162" s="248">
        <v>-0.4</v>
      </c>
      <c r="AC162" s="248">
        <v>0</v>
      </c>
      <c r="AD162" s="248">
        <f t="shared" ref="AD162:AD167" si="116">AB162+AC162</f>
        <v>-0.4</v>
      </c>
      <c r="AE162" s="193"/>
      <c r="AF162" s="199"/>
      <c r="AG162" s="194"/>
      <c r="AH162" s="195"/>
      <c r="AI162" s="148">
        <v>-0.7985000000000001</v>
      </c>
      <c r="AJ162" s="148">
        <v>0.92549999999999999</v>
      </c>
      <c r="AK162" s="148">
        <v>0.12699999999999989</v>
      </c>
      <c r="AL162" s="20"/>
      <c r="AM162" s="20"/>
      <c r="AN162" s="20"/>
      <c r="AO162" s="20"/>
      <c r="AP162" s="339">
        <v>-0.5</v>
      </c>
      <c r="AQ162" s="339"/>
      <c r="AR162" s="339">
        <f t="shared" si="104"/>
        <v>-0.5</v>
      </c>
      <c r="AS162" s="225"/>
      <c r="AT162" s="20"/>
      <c r="AU162" s="20"/>
      <c r="AV162" s="20"/>
      <c r="AW162" s="332">
        <v>-0.19317000000000001</v>
      </c>
      <c r="AX162" s="332">
        <v>0.11717</v>
      </c>
      <c r="AY162" s="332">
        <f t="shared" si="111"/>
        <v>-7.6000000000000012E-2</v>
      </c>
      <c r="AZ162" s="20"/>
      <c r="BA162" s="20"/>
      <c r="BB162" s="20"/>
      <c r="BC162" s="20"/>
      <c r="BD162" s="221" t="e">
        <f>-SUMIF(#REF!,'pôles &amp; actions'!$C162,#REF!)/1000</f>
        <v>#REF!</v>
      </c>
      <c r="BE162" s="221" t="e">
        <f>SUMIF(#REF!,'pôles &amp; actions'!$C162,#REF!)/1000</f>
        <v>#REF!</v>
      </c>
      <c r="BF162" s="221" t="e">
        <f t="shared" si="105"/>
        <v>#REF!</v>
      </c>
      <c r="BG162" s="221" t="e">
        <f t="shared" si="101"/>
        <v>#REF!</v>
      </c>
      <c r="BK162" s="345">
        <f>-0.5-3</f>
        <v>-3.5</v>
      </c>
      <c r="BL162" s="345"/>
      <c r="BM162" s="345">
        <f t="shared" si="112"/>
        <v>-3.5</v>
      </c>
      <c r="BN162" s="225"/>
    </row>
    <row r="163" spans="1:66" ht="15" customHeight="1" outlineLevel="1" x14ac:dyDescent="0.25">
      <c r="A163" s="324">
        <v>153</v>
      </c>
      <c r="B163" s="400" t="s">
        <v>49</v>
      </c>
      <c r="C163" s="401" t="s">
        <v>214</v>
      </c>
      <c r="D163" s="37"/>
      <c r="E163" s="37"/>
      <c r="F163" s="37"/>
      <c r="G163" s="38"/>
      <c r="H163" s="39"/>
      <c r="I163" s="37"/>
      <c r="J163" s="37"/>
      <c r="K163" s="37">
        <v>0</v>
      </c>
      <c r="L163" s="38"/>
      <c r="M163" s="38"/>
      <c r="N163" s="37" t="e">
        <f>-SUMIF(#REF!,$C163,#REF!)/1000</f>
        <v>#REF!</v>
      </c>
      <c r="O163" s="37" t="e">
        <f>SUMIF(#REF!,$C163,#REF!)/1000</f>
        <v>#REF!</v>
      </c>
      <c r="P163" s="37" t="e">
        <f t="shared" si="114"/>
        <v>#REF!</v>
      </c>
      <c r="Q163" s="39"/>
      <c r="R163" s="157">
        <v>-23</v>
      </c>
      <c r="S163" s="157">
        <v>21.6</v>
      </c>
      <c r="T163" s="157">
        <f t="shared" si="115"/>
        <v>-1.3999999999999986</v>
      </c>
      <c r="U163" s="37"/>
      <c r="V163" s="407">
        <v>0</v>
      </c>
      <c r="W163" s="407">
        <v>0</v>
      </c>
      <c r="X163" s="407">
        <f t="shared" ref="X163:X171" si="117">SUM(V163:W163)</f>
        <v>0</v>
      </c>
      <c r="Y163" s="46"/>
      <c r="Z163" s="131" t="s">
        <v>414</v>
      </c>
      <c r="AA163" s="39"/>
      <c r="AB163" s="248">
        <v>-20.2</v>
      </c>
      <c r="AC163" s="248">
        <v>17</v>
      </c>
      <c r="AD163" s="248">
        <f t="shared" si="116"/>
        <v>-3.1999999999999993</v>
      </c>
      <c r="AE163" s="193"/>
      <c r="AF163" s="199"/>
      <c r="AG163" s="194"/>
      <c r="AH163" s="195"/>
      <c r="AI163" s="148">
        <v>0</v>
      </c>
      <c r="AJ163" s="148">
        <v>0</v>
      </c>
      <c r="AK163" s="148">
        <v>0</v>
      </c>
      <c r="AL163" s="20"/>
      <c r="AM163" s="20"/>
      <c r="AN163" s="20"/>
      <c r="AO163" s="20"/>
      <c r="AP163" s="339"/>
      <c r="AQ163" s="339"/>
      <c r="AR163" s="339">
        <f t="shared" si="104"/>
        <v>0</v>
      </c>
      <c r="AS163" s="225"/>
      <c r="AT163" s="20"/>
      <c r="AU163" s="20" t="s">
        <v>522</v>
      </c>
      <c r="AV163" s="20"/>
      <c r="AW163" s="332">
        <v>0</v>
      </c>
      <c r="AX163" s="332">
        <v>0</v>
      </c>
      <c r="AY163" s="332">
        <f t="shared" si="111"/>
        <v>0</v>
      </c>
      <c r="AZ163" s="20"/>
      <c r="BA163" s="20"/>
      <c r="BB163" s="20"/>
      <c r="BC163" s="20"/>
      <c r="BD163" s="221" t="e">
        <f>-SUMIF(#REF!,'pôles &amp; actions'!$C163,#REF!)/1000</f>
        <v>#REF!</v>
      </c>
      <c r="BE163" s="221" t="e">
        <f>SUMIF(#REF!,'pôles &amp; actions'!$C163,#REF!)/1000</f>
        <v>#REF!</v>
      </c>
      <c r="BF163" s="221" t="e">
        <f t="shared" si="105"/>
        <v>#REF!</v>
      </c>
      <c r="BG163" s="221" t="e">
        <f t="shared" si="101"/>
        <v>#REF!</v>
      </c>
      <c r="BK163" s="345"/>
      <c r="BL163" s="345"/>
      <c r="BM163" s="345">
        <f t="shared" si="112"/>
        <v>0</v>
      </c>
      <c r="BN163" s="225"/>
    </row>
    <row r="164" spans="1:66" ht="15" customHeight="1" outlineLevel="1" x14ac:dyDescent="0.25">
      <c r="A164" s="324">
        <v>154</v>
      </c>
      <c r="B164" s="385" t="s">
        <v>215</v>
      </c>
      <c r="C164" s="386" t="s">
        <v>216</v>
      </c>
      <c r="D164" s="37"/>
      <c r="E164" s="37"/>
      <c r="F164" s="37"/>
      <c r="G164" s="38"/>
      <c r="H164" s="39"/>
      <c r="I164" s="37"/>
      <c r="J164" s="37"/>
      <c r="K164" s="37">
        <v>0</v>
      </c>
      <c r="L164" s="38"/>
      <c r="M164" s="38"/>
      <c r="N164" s="37" t="e">
        <f>-SUMIF(#REF!,$C164,#REF!)/1000</f>
        <v>#REF!</v>
      </c>
      <c r="O164" s="37" t="e">
        <f>SUMIF(#REF!,$C164,#REF!)/1000</f>
        <v>#REF!</v>
      </c>
      <c r="P164" s="37" t="e">
        <f t="shared" si="114"/>
        <v>#REF!</v>
      </c>
      <c r="Q164" s="39"/>
      <c r="R164" s="157"/>
      <c r="S164" s="157"/>
      <c r="T164" s="157">
        <f t="shared" si="115"/>
        <v>0</v>
      </c>
      <c r="U164" s="37"/>
      <c r="V164" s="407">
        <v>0</v>
      </c>
      <c r="W164" s="407">
        <v>0</v>
      </c>
      <c r="X164" s="407">
        <f t="shared" ref="X164:X170" si="118">SUM(V164:W164)</f>
        <v>0</v>
      </c>
      <c r="Y164" s="46"/>
      <c r="Z164" s="131" t="s">
        <v>414</v>
      </c>
      <c r="AA164" s="39"/>
      <c r="AB164" s="248">
        <v>-1.2</v>
      </c>
      <c r="AC164" s="248">
        <v>1.2</v>
      </c>
      <c r="AD164" s="248">
        <f t="shared" si="116"/>
        <v>0</v>
      </c>
      <c r="AE164" s="193"/>
      <c r="AF164" s="199"/>
      <c r="AG164" s="194"/>
      <c r="AH164" s="195"/>
      <c r="AI164" s="148">
        <v>0</v>
      </c>
      <c r="AJ164" s="148">
        <v>0</v>
      </c>
      <c r="AK164" s="148">
        <v>0</v>
      </c>
      <c r="AL164" s="20"/>
      <c r="AM164" s="20"/>
      <c r="AN164" s="20"/>
      <c r="AO164" s="20"/>
      <c r="AP164" s="339">
        <v>-4.3</v>
      </c>
      <c r="AQ164" s="339">
        <v>4.3</v>
      </c>
      <c r="AR164" s="339">
        <f t="shared" si="104"/>
        <v>0</v>
      </c>
      <c r="AS164" s="225"/>
      <c r="AT164" s="269">
        <v>4.3</v>
      </c>
      <c r="AU164" s="20" t="s">
        <v>519</v>
      </c>
      <c r="AV164" s="20"/>
      <c r="AW164" s="332">
        <v>0</v>
      </c>
      <c r="AX164" s="332">
        <v>0</v>
      </c>
      <c r="AY164" s="332">
        <f t="shared" si="111"/>
        <v>0</v>
      </c>
      <c r="AZ164" s="20"/>
      <c r="BA164" s="20"/>
      <c r="BB164" s="20"/>
      <c r="BC164" s="20"/>
      <c r="BD164" s="221" t="e">
        <f>-SUMIF(#REF!,'pôles &amp; actions'!$C164,#REF!)/1000</f>
        <v>#REF!</v>
      </c>
      <c r="BE164" s="221" t="e">
        <f>SUMIF(#REF!,'pôles &amp; actions'!$C164,#REF!)/1000</f>
        <v>#REF!</v>
      </c>
      <c r="BF164" s="221" t="e">
        <f t="shared" si="105"/>
        <v>#REF!</v>
      </c>
      <c r="BG164" s="221" t="e">
        <f t="shared" si="101"/>
        <v>#REF!</v>
      </c>
      <c r="BK164" s="345">
        <v>-4.3</v>
      </c>
      <c r="BL164" s="345">
        <v>4.3</v>
      </c>
      <c r="BM164" s="345">
        <f t="shared" si="112"/>
        <v>0</v>
      </c>
      <c r="BN164" s="225"/>
    </row>
    <row r="165" spans="1:66" ht="15" hidden="1" customHeight="1" outlineLevel="2" x14ac:dyDescent="0.25">
      <c r="A165" s="324">
        <v>154</v>
      </c>
      <c r="B165" s="385" t="s">
        <v>150</v>
      </c>
      <c r="C165" s="386" t="s">
        <v>217</v>
      </c>
      <c r="D165" s="37"/>
      <c r="E165" s="37"/>
      <c r="F165" s="37"/>
      <c r="G165" s="38"/>
      <c r="H165" s="39"/>
      <c r="I165" s="37"/>
      <c r="J165" s="37"/>
      <c r="K165" s="37">
        <v>0</v>
      </c>
      <c r="L165" s="38"/>
      <c r="M165" s="38"/>
      <c r="N165" s="37" t="e">
        <f>-SUMIF(#REF!,$C165,#REF!)/1000</f>
        <v>#REF!</v>
      </c>
      <c r="O165" s="37" t="e">
        <f>SUMIF(#REF!,$C165,#REF!)/1000</f>
        <v>#REF!</v>
      </c>
      <c r="P165" s="37" t="e">
        <f t="shared" si="114"/>
        <v>#REF!</v>
      </c>
      <c r="Q165" s="39"/>
      <c r="R165" s="157"/>
      <c r="S165" s="157"/>
      <c r="T165" s="157">
        <f t="shared" si="115"/>
        <v>0</v>
      </c>
      <c r="U165" s="37"/>
      <c r="V165" s="407">
        <v>0</v>
      </c>
      <c r="W165" s="407">
        <v>0</v>
      </c>
      <c r="X165" s="407">
        <f t="shared" si="118"/>
        <v>0</v>
      </c>
      <c r="Y165" s="46"/>
      <c r="Z165" s="46"/>
      <c r="AA165" s="39"/>
      <c r="AB165" s="248"/>
      <c r="AC165" s="248"/>
      <c r="AD165" s="248">
        <f t="shared" si="116"/>
        <v>0</v>
      </c>
      <c r="AE165" s="193"/>
      <c r="AF165" s="199"/>
      <c r="AG165" s="194"/>
      <c r="AH165" s="195"/>
      <c r="AI165" s="148">
        <v>0</v>
      </c>
      <c r="AJ165" s="148">
        <v>0</v>
      </c>
      <c r="AK165" s="148">
        <v>0</v>
      </c>
      <c r="AL165" s="20"/>
      <c r="AM165" s="20"/>
      <c r="AN165" s="20"/>
      <c r="AO165" s="20"/>
      <c r="AP165" s="339"/>
      <c r="AQ165" s="339"/>
      <c r="AR165" s="339">
        <f t="shared" si="104"/>
        <v>0</v>
      </c>
      <c r="AS165" s="225"/>
      <c r="AT165" s="20"/>
      <c r="AU165" s="20"/>
      <c r="AV165" s="20"/>
      <c r="AW165" s="332">
        <v>0</v>
      </c>
      <c r="AX165" s="332">
        <v>0</v>
      </c>
      <c r="AY165" s="332">
        <f t="shared" si="111"/>
        <v>0</v>
      </c>
      <c r="AZ165" s="20"/>
      <c r="BA165" s="20"/>
      <c r="BB165" s="20"/>
      <c r="BC165" s="20"/>
      <c r="BD165" s="221" t="e">
        <f>-SUMIF(#REF!,'pôles &amp; actions'!$C165,#REF!)/1000</f>
        <v>#REF!</v>
      </c>
      <c r="BE165" s="221" t="e">
        <f>SUMIF(#REF!,'pôles &amp; actions'!$C165,#REF!)/1000</f>
        <v>#REF!</v>
      </c>
      <c r="BF165" s="221" t="e">
        <f t="shared" si="105"/>
        <v>#REF!</v>
      </c>
      <c r="BG165" s="221" t="e">
        <f t="shared" si="101"/>
        <v>#REF!</v>
      </c>
      <c r="BK165" s="345">
        <v>-0.4</v>
      </c>
      <c r="BL165" s="345"/>
      <c r="BM165" s="345">
        <f t="shared" si="112"/>
        <v>-0.4</v>
      </c>
      <c r="BN165" s="225"/>
    </row>
    <row r="166" spans="1:66" ht="15" customHeight="1" outlineLevel="1" collapsed="1" x14ac:dyDescent="0.25">
      <c r="A166" s="324">
        <v>155</v>
      </c>
      <c r="B166" s="385" t="s">
        <v>184</v>
      </c>
      <c r="C166" s="386" t="s">
        <v>218</v>
      </c>
      <c r="D166" s="37"/>
      <c r="E166" s="37"/>
      <c r="F166" s="37"/>
      <c r="G166" s="38"/>
      <c r="H166" s="39"/>
      <c r="I166" s="37"/>
      <c r="J166" s="37"/>
      <c r="K166" s="37">
        <v>0</v>
      </c>
      <c r="L166" s="38"/>
      <c r="M166" s="38"/>
      <c r="N166" s="37" t="e">
        <f>-SUMIF(#REF!,$C166,#REF!)/1000</f>
        <v>#REF!</v>
      </c>
      <c r="O166" s="37" t="e">
        <f>SUMIF(#REF!,$C166,#REF!)/1000</f>
        <v>#REF!</v>
      </c>
      <c r="P166" s="37" t="e">
        <f t="shared" si="114"/>
        <v>#REF!</v>
      </c>
      <c r="Q166" s="39"/>
      <c r="R166" s="157">
        <v>-0.5</v>
      </c>
      <c r="S166" s="157">
        <v>1</v>
      </c>
      <c r="T166" s="157">
        <f t="shared" si="115"/>
        <v>0.5</v>
      </c>
      <c r="U166" s="37"/>
      <c r="V166" s="407">
        <v>0</v>
      </c>
      <c r="W166" s="407">
        <v>0</v>
      </c>
      <c r="X166" s="407">
        <f t="shared" si="118"/>
        <v>0</v>
      </c>
      <c r="Y166" s="46"/>
      <c r="Z166" s="46"/>
      <c r="AA166" s="39"/>
      <c r="AB166" s="248">
        <v>-0.75</v>
      </c>
      <c r="AC166" s="248">
        <v>1</v>
      </c>
      <c r="AD166" s="248">
        <f t="shared" si="116"/>
        <v>0.25</v>
      </c>
      <c r="AE166" s="193"/>
      <c r="AF166" s="199"/>
      <c r="AG166" s="194"/>
      <c r="AH166" s="195"/>
      <c r="AI166" s="148">
        <v>0</v>
      </c>
      <c r="AJ166" s="148">
        <v>0</v>
      </c>
      <c r="AK166" s="148">
        <v>0</v>
      </c>
      <c r="AL166" s="20"/>
      <c r="AM166" s="20"/>
      <c r="AN166" s="20"/>
      <c r="AO166" s="20"/>
      <c r="AP166" s="339"/>
      <c r="AQ166" s="339">
        <v>0.7</v>
      </c>
      <c r="AR166" s="339">
        <f t="shared" si="104"/>
        <v>0.7</v>
      </c>
      <c r="AS166" s="225"/>
      <c r="AT166" s="20"/>
      <c r="AU166" s="20" t="s">
        <v>518</v>
      </c>
      <c r="AV166" s="20"/>
      <c r="AW166" s="332">
        <v>0</v>
      </c>
      <c r="AX166" s="332">
        <v>0</v>
      </c>
      <c r="AY166" s="332">
        <f t="shared" si="111"/>
        <v>0</v>
      </c>
      <c r="AZ166" s="20"/>
      <c r="BA166" s="20"/>
      <c r="BB166" s="20"/>
      <c r="BC166" s="20"/>
      <c r="BD166" s="221" t="e">
        <f>-SUMIF(#REF!,'pôles &amp; actions'!$C166,#REF!)/1000</f>
        <v>#REF!</v>
      </c>
      <c r="BE166" s="221" t="e">
        <f>SUMIF(#REF!,'pôles &amp; actions'!$C166,#REF!)/1000</f>
        <v>#REF!</v>
      </c>
      <c r="BF166" s="221" t="e">
        <f t="shared" si="105"/>
        <v>#REF!</v>
      </c>
      <c r="BG166" s="221" t="e">
        <f t="shared" si="101"/>
        <v>#REF!</v>
      </c>
      <c r="BK166" s="345"/>
      <c r="BL166" s="345">
        <v>0.6</v>
      </c>
      <c r="BM166" s="345">
        <f t="shared" si="112"/>
        <v>0.6</v>
      </c>
      <c r="BN166" s="225"/>
    </row>
    <row r="167" spans="1:66" ht="15" customHeight="1" outlineLevel="1" x14ac:dyDescent="0.25">
      <c r="A167" s="324">
        <v>156</v>
      </c>
      <c r="B167" s="385" t="s">
        <v>47</v>
      </c>
      <c r="C167" s="386" t="s">
        <v>219</v>
      </c>
      <c r="D167" s="37"/>
      <c r="E167" s="37"/>
      <c r="F167" s="37"/>
      <c r="G167" s="38"/>
      <c r="H167" s="39"/>
      <c r="I167" s="37"/>
      <c r="J167" s="37"/>
      <c r="K167" s="37">
        <v>0</v>
      </c>
      <c r="L167" s="38"/>
      <c r="M167" s="38"/>
      <c r="N167" s="37" t="e">
        <f>-SUMIF(#REF!,$C167,#REF!)/1000</f>
        <v>#REF!</v>
      </c>
      <c r="O167" s="37" t="e">
        <f>SUMIF(#REF!,$C167,#REF!)/1000</f>
        <v>#REF!</v>
      </c>
      <c r="P167" s="37" t="e">
        <f t="shared" si="114"/>
        <v>#REF!</v>
      </c>
      <c r="Q167" s="39"/>
      <c r="R167" s="157">
        <v>-19.2</v>
      </c>
      <c r="S167" s="157">
        <v>5.6550000000000002</v>
      </c>
      <c r="T167" s="157">
        <f t="shared" si="115"/>
        <v>-13.544999999999998</v>
      </c>
      <c r="U167" s="37"/>
      <c r="V167" s="407">
        <v>-26.489849999999997</v>
      </c>
      <c r="W167" s="407">
        <v>19.228759999999998</v>
      </c>
      <c r="X167" s="407">
        <f t="shared" si="118"/>
        <v>-7.2610899999999994</v>
      </c>
      <c r="Y167" s="46"/>
      <c r="Z167" s="131" t="s">
        <v>414</v>
      </c>
      <c r="AA167" s="39"/>
      <c r="AB167" s="248">
        <v>-15.37</v>
      </c>
      <c r="AC167" s="248">
        <v>5.0999999999999996</v>
      </c>
      <c r="AD167" s="248">
        <f t="shared" si="116"/>
        <v>-10.27</v>
      </c>
      <c r="AE167" s="193"/>
      <c r="AF167" s="199"/>
      <c r="AG167" s="194"/>
      <c r="AH167" s="195"/>
      <c r="AI167" s="148">
        <v>-26.19566</v>
      </c>
      <c r="AJ167" s="148">
        <v>26.879270000000002</v>
      </c>
      <c r="AK167" s="148">
        <v>0.68361000000000161</v>
      </c>
      <c r="AL167" s="20"/>
      <c r="AM167" s="20"/>
      <c r="AN167" s="20"/>
      <c r="AO167" s="20"/>
      <c r="AP167" s="339"/>
      <c r="AQ167" s="339"/>
      <c r="AR167" s="339">
        <f t="shared" si="104"/>
        <v>0</v>
      </c>
      <c r="AS167" s="225"/>
      <c r="AT167" s="20"/>
      <c r="AU167" s="20"/>
      <c r="AV167" s="20"/>
      <c r="AW167" s="332">
        <v>-13.149550000000001</v>
      </c>
      <c r="AX167" s="332">
        <v>12.49709</v>
      </c>
      <c r="AY167" s="332">
        <f t="shared" si="111"/>
        <v>-0.65246000000000137</v>
      </c>
      <c r="AZ167" s="20"/>
      <c r="BA167" s="20"/>
      <c r="BB167" s="20"/>
      <c r="BC167" s="20"/>
      <c r="BD167" s="221" t="e">
        <f>-SUMIF(#REF!,'pôles &amp; actions'!$C167,#REF!)/1000</f>
        <v>#REF!</v>
      </c>
      <c r="BE167" s="221" t="e">
        <f>SUMIF(#REF!,'pôles &amp; actions'!$C167,#REF!)/1000</f>
        <v>#REF!</v>
      </c>
      <c r="BF167" s="221" t="e">
        <f t="shared" si="105"/>
        <v>#REF!</v>
      </c>
      <c r="BG167" s="221" t="e">
        <f t="shared" ref="BG167:BG176" si="119">AR167-BF167</f>
        <v>#REF!</v>
      </c>
      <c r="BK167" s="345"/>
      <c r="BL167" s="345"/>
      <c r="BM167" s="345">
        <f t="shared" si="112"/>
        <v>0</v>
      </c>
      <c r="BN167" s="225"/>
    </row>
    <row r="168" spans="1:66" ht="15" customHeight="1" outlineLevel="1" x14ac:dyDescent="0.25">
      <c r="A168" s="324">
        <v>157</v>
      </c>
      <c r="B168" s="385" t="s">
        <v>220</v>
      </c>
      <c r="C168" s="386" t="s">
        <v>221</v>
      </c>
      <c r="D168" s="37"/>
      <c r="E168" s="37"/>
      <c r="F168" s="37"/>
      <c r="G168" s="38"/>
      <c r="H168" s="39"/>
      <c r="I168" s="37"/>
      <c r="J168" s="37"/>
      <c r="K168" s="37">
        <v>0</v>
      </c>
      <c r="L168" s="38"/>
      <c r="M168" s="38"/>
      <c r="N168" s="37" t="e">
        <f>-SUMIF(#REF!,$C168,#REF!)/1000</f>
        <v>#REF!</v>
      </c>
      <c r="O168" s="37" t="e">
        <f>SUMIF(#REF!,$C168,#REF!)/1000</f>
        <v>#REF!</v>
      </c>
      <c r="P168" s="37" t="e">
        <f t="shared" si="114"/>
        <v>#REF!</v>
      </c>
      <c r="Q168" s="39"/>
      <c r="R168" s="157"/>
      <c r="S168" s="157"/>
      <c r="T168" s="157">
        <v>0</v>
      </c>
      <c r="U168" s="37"/>
      <c r="V168" s="407">
        <v>-1.4393399999999998</v>
      </c>
      <c r="W168" s="407">
        <v>0.9224</v>
      </c>
      <c r="X168" s="407">
        <f t="shared" si="118"/>
        <v>-0.51693999999999984</v>
      </c>
      <c r="Y168" s="46"/>
      <c r="Z168" s="131" t="s">
        <v>414</v>
      </c>
      <c r="AA168" s="39"/>
      <c r="AB168" s="248"/>
      <c r="AC168" s="248"/>
      <c r="AD168" s="248">
        <v>0</v>
      </c>
      <c r="AE168" s="193"/>
      <c r="AF168" s="199"/>
      <c r="AG168" s="194"/>
      <c r="AH168" s="195"/>
      <c r="AI168" s="148">
        <v>-9.2161000000000008</v>
      </c>
      <c r="AJ168" s="148">
        <v>3.4219499999999998</v>
      </c>
      <c r="AK168" s="148">
        <v>-5.794150000000001</v>
      </c>
      <c r="AL168" s="20"/>
      <c r="AM168" s="20"/>
      <c r="AN168" s="20"/>
      <c r="AO168" s="20"/>
      <c r="AP168" s="339">
        <v>-14.7</v>
      </c>
      <c r="AQ168" s="339">
        <v>6.9</v>
      </c>
      <c r="AR168" s="339">
        <f t="shared" si="104"/>
        <v>-7.7999999999999989</v>
      </c>
      <c r="AS168" s="225"/>
      <c r="AT168" s="269">
        <v>14.7</v>
      </c>
      <c r="AU168" s="20" t="s">
        <v>523</v>
      </c>
      <c r="AV168" s="20"/>
      <c r="AW168" s="332">
        <v>-12.45032</v>
      </c>
      <c r="AX168" s="332">
        <v>8.6582999999999988</v>
      </c>
      <c r="AY168" s="332">
        <f t="shared" si="111"/>
        <v>-3.7920200000000008</v>
      </c>
      <c r="AZ168" s="20"/>
      <c r="BA168" s="20"/>
      <c r="BB168" s="20"/>
      <c r="BC168" s="20"/>
      <c r="BD168" s="221" t="e">
        <f>-SUMIF(#REF!,'pôles &amp; actions'!$C168,#REF!)/1000</f>
        <v>#REF!</v>
      </c>
      <c r="BE168" s="221" t="e">
        <f>SUMIF(#REF!,'pôles &amp; actions'!$C168,#REF!)/1000</f>
        <v>#REF!</v>
      </c>
      <c r="BF168" s="221" t="e">
        <f t="shared" si="105"/>
        <v>#REF!</v>
      </c>
      <c r="BG168" s="221" t="e">
        <f t="shared" si="119"/>
        <v>#REF!</v>
      </c>
      <c r="BK168" s="345">
        <v>-29.1</v>
      </c>
      <c r="BL168" s="345">
        <v>7.6</v>
      </c>
      <c r="BM168" s="345">
        <f t="shared" si="112"/>
        <v>-21.5</v>
      </c>
      <c r="BN168" s="225"/>
    </row>
    <row r="169" spans="1:66" ht="15" customHeight="1" outlineLevel="1" x14ac:dyDescent="0.25">
      <c r="A169" s="324">
        <v>158</v>
      </c>
      <c r="B169" s="385" t="s">
        <v>41</v>
      </c>
      <c r="C169" s="386" t="s">
        <v>222</v>
      </c>
      <c r="D169" s="37"/>
      <c r="E169" s="37"/>
      <c r="F169" s="37"/>
      <c r="G169" s="38"/>
      <c r="H169" s="39"/>
      <c r="I169" s="37"/>
      <c r="J169" s="37"/>
      <c r="K169" s="37">
        <v>0</v>
      </c>
      <c r="L169" s="38"/>
      <c r="M169" s="38"/>
      <c r="N169" s="37" t="e">
        <f>-SUMIF(#REF!,$C169,#REF!)/1000</f>
        <v>#REF!</v>
      </c>
      <c r="O169" s="37" t="e">
        <f>SUMIF(#REF!,$C169,#REF!)/1000</f>
        <v>#REF!</v>
      </c>
      <c r="P169" s="37" t="e">
        <f t="shared" si="114"/>
        <v>#REF!</v>
      </c>
      <c r="Q169" s="39"/>
      <c r="R169" s="157"/>
      <c r="S169" s="157"/>
      <c r="T169" s="157">
        <v>0</v>
      </c>
      <c r="U169" s="37"/>
      <c r="V169" s="407">
        <v>-0.13739999999999999</v>
      </c>
      <c r="W169" s="407">
        <v>0</v>
      </c>
      <c r="X169" s="407">
        <f t="shared" si="118"/>
        <v>-0.13739999999999999</v>
      </c>
      <c r="Y169" s="46"/>
      <c r="Z169" s="131" t="s">
        <v>414</v>
      </c>
      <c r="AA169" s="39"/>
      <c r="AB169" s="248"/>
      <c r="AC169" s="248"/>
      <c r="AD169" s="248">
        <v>0</v>
      </c>
      <c r="AE169" s="193"/>
      <c r="AF169" s="199"/>
      <c r="AG169" s="194"/>
      <c r="AH169" s="195"/>
      <c r="AI169" s="148">
        <v>0</v>
      </c>
      <c r="AJ169" s="148">
        <v>0</v>
      </c>
      <c r="AK169" s="148">
        <v>0</v>
      </c>
      <c r="AL169" s="20"/>
      <c r="AM169" s="20"/>
      <c r="AN169" s="20"/>
      <c r="AO169" s="20"/>
      <c r="AP169" s="339">
        <v>-1</v>
      </c>
      <c r="AQ169" s="339"/>
      <c r="AR169" s="339">
        <f t="shared" si="104"/>
        <v>-1</v>
      </c>
      <c r="AS169" s="225"/>
      <c r="AT169" s="20"/>
      <c r="AU169" s="20" t="s">
        <v>517</v>
      </c>
      <c r="AV169" s="20"/>
      <c r="AW169" s="332">
        <v>-6.6000000000000003E-2</v>
      </c>
      <c r="AX169" s="332">
        <v>0</v>
      </c>
      <c r="AY169" s="332">
        <f t="shared" si="111"/>
        <v>-6.6000000000000003E-2</v>
      </c>
      <c r="AZ169" s="20"/>
      <c r="BA169" s="20"/>
      <c r="BB169" s="20"/>
      <c r="BC169" s="20"/>
      <c r="BD169" s="221" t="e">
        <f>-SUMIF(#REF!,'pôles &amp; actions'!$C169,#REF!)/1000</f>
        <v>#REF!</v>
      </c>
      <c r="BE169" s="221" t="e">
        <f>SUMIF(#REF!,'pôles &amp; actions'!$C169,#REF!)/1000</f>
        <v>#REF!</v>
      </c>
      <c r="BF169" s="221" t="e">
        <f t="shared" si="105"/>
        <v>#REF!</v>
      </c>
      <c r="BG169" s="221" t="e">
        <f t="shared" si="119"/>
        <v>#REF!</v>
      </c>
      <c r="BK169" s="345">
        <f>-0.5-2-9</f>
        <v>-11.5</v>
      </c>
      <c r="BL169" s="345"/>
      <c r="BM169" s="345">
        <f t="shared" si="112"/>
        <v>-11.5</v>
      </c>
      <c r="BN169" s="225"/>
    </row>
    <row r="170" spans="1:66" ht="15" hidden="1" customHeight="1" outlineLevel="2" x14ac:dyDescent="0.25">
      <c r="A170" s="324">
        <v>158</v>
      </c>
      <c r="B170" s="385" t="s">
        <v>223</v>
      </c>
      <c r="C170" s="386" t="s">
        <v>224</v>
      </c>
      <c r="D170" s="37"/>
      <c r="E170" s="37"/>
      <c r="F170" s="37"/>
      <c r="G170" s="38"/>
      <c r="H170" s="39"/>
      <c r="I170" s="37"/>
      <c r="J170" s="37"/>
      <c r="K170" s="37">
        <v>0</v>
      </c>
      <c r="L170" s="38"/>
      <c r="M170" s="38"/>
      <c r="N170" s="37" t="e">
        <f>-SUMIF(#REF!,$C170,#REF!)/1000</f>
        <v>#REF!</v>
      </c>
      <c r="O170" s="37" t="e">
        <f>SUMIF(#REF!,$C170,#REF!)/1000</f>
        <v>#REF!</v>
      </c>
      <c r="P170" s="37" t="e">
        <f t="shared" si="114"/>
        <v>#REF!</v>
      </c>
      <c r="Q170" s="39"/>
      <c r="R170" s="157"/>
      <c r="S170" s="157"/>
      <c r="T170" s="157">
        <f>R170+S170</f>
        <v>0</v>
      </c>
      <c r="U170" s="37"/>
      <c r="V170" s="407">
        <v>0</v>
      </c>
      <c r="W170" s="407">
        <v>0</v>
      </c>
      <c r="X170" s="407">
        <f t="shared" si="118"/>
        <v>0</v>
      </c>
      <c r="Y170" s="46"/>
      <c r="Z170" s="46"/>
      <c r="AA170" s="39"/>
      <c r="AB170" s="248"/>
      <c r="AC170" s="248"/>
      <c r="AD170" s="248">
        <f>AB170+AC170</f>
        <v>0</v>
      </c>
      <c r="AE170" s="193"/>
      <c r="AF170" s="199"/>
      <c r="AG170" s="194"/>
      <c r="AH170" s="195"/>
      <c r="AI170" s="148">
        <v>0</v>
      </c>
      <c r="AJ170" s="148">
        <v>0</v>
      </c>
      <c r="AK170" s="148">
        <v>0</v>
      </c>
      <c r="AL170" s="20"/>
      <c r="AM170" s="20"/>
      <c r="AN170" s="20"/>
      <c r="AO170" s="20"/>
      <c r="AP170" s="339"/>
      <c r="AQ170" s="339"/>
      <c r="AR170" s="339">
        <f t="shared" si="104"/>
        <v>0</v>
      </c>
      <c r="AS170" s="225"/>
      <c r="AT170" s="20"/>
      <c r="AU170" s="20"/>
      <c r="AV170" s="20"/>
      <c r="AW170" s="332">
        <v>0</v>
      </c>
      <c r="AX170" s="332">
        <v>0</v>
      </c>
      <c r="AY170" s="332">
        <f t="shared" si="111"/>
        <v>0</v>
      </c>
      <c r="AZ170" s="20"/>
      <c r="BA170" s="20"/>
      <c r="BB170" s="20"/>
      <c r="BC170" s="20"/>
      <c r="BD170" s="221" t="e">
        <f>-SUMIF(#REF!,'pôles &amp; actions'!$C170,#REF!)/1000</f>
        <v>#REF!</v>
      </c>
      <c r="BE170" s="221" t="e">
        <f>SUMIF(#REF!,'pôles &amp; actions'!$C170,#REF!)/1000</f>
        <v>#REF!</v>
      </c>
      <c r="BF170" s="221" t="e">
        <f t="shared" si="105"/>
        <v>#REF!</v>
      </c>
      <c r="BG170" s="221" t="e">
        <f t="shared" si="119"/>
        <v>#REF!</v>
      </c>
      <c r="BK170" s="345"/>
      <c r="BL170" s="345"/>
      <c r="BM170" s="345">
        <f t="shared" si="112"/>
        <v>0</v>
      </c>
      <c r="BN170" s="225"/>
    </row>
    <row r="171" spans="1:66" ht="15" customHeight="1" outlineLevel="1" collapsed="1" x14ac:dyDescent="0.25">
      <c r="A171" s="324">
        <v>159</v>
      </c>
      <c r="B171" s="385" t="s">
        <v>45</v>
      </c>
      <c r="C171" s="386" t="s">
        <v>225</v>
      </c>
      <c r="D171" s="37"/>
      <c r="E171" s="37"/>
      <c r="F171" s="37"/>
      <c r="G171" s="38"/>
      <c r="H171" s="39"/>
      <c r="I171" s="37"/>
      <c r="J171" s="37"/>
      <c r="K171" s="37">
        <v>0</v>
      </c>
      <c r="L171" s="38"/>
      <c r="M171" s="38"/>
      <c r="N171" s="37" t="e">
        <f>-SUMIF(#REF!,$C171,#REF!)/1000</f>
        <v>#REF!</v>
      </c>
      <c r="O171" s="37" t="e">
        <f>SUMIF(#REF!,$C171,#REF!)/1000</f>
        <v>#REF!</v>
      </c>
      <c r="P171" s="37" t="e">
        <f t="shared" si="114"/>
        <v>#REF!</v>
      </c>
      <c r="Q171" s="39"/>
      <c r="R171" s="157"/>
      <c r="S171" s="157"/>
      <c r="T171" s="157">
        <f>R171+S171</f>
        <v>0</v>
      </c>
      <c r="U171" s="37"/>
      <c r="V171" s="407">
        <v>0</v>
      </c>
      <c r="W171" s="407">
        <v>0</v>
      </c>
      <c r="X171" s="407">
        <f t="shared" si="117"/>
        <v>0</v>
      </c>
      <c r="Y171" s="46"/>
      <c r="Z171" s="46"/>
      <c r="AA171" s="39"/>
      <c r="AB171" s="248"/>
      <c r="AC171" s="248"/>
      <c r="AD171" s="248">
        <f>AB171+AC171</f>
        <v>0</v>
      </c>
      <c r="AE171" s="193"/>
      <c r="AF171" s="199"/>
      <c r="AG171" s="194" t="s">
        <v>403</v>
      </c>
      <c r="AH171" s="195"/>
      <c r="AI171" s="148">
        <v>0</v>
      </c>
      <c r="AJ171" s="148">
        <v>0</v>
      </c>
      <c r="AK171" s="148">
        <v>0</v>
      </c>
      <c r="AL171" s="20"/>
      <c r="AM171" s="20"/>
      <c r="AN171" s="20"/>
      <c r="AO171" s="20"/>
      <c r="AP171" s="339">
        <v>-0.33400000000000002</v>
      </c>
      <c r="AQ171" s="339"/>
      <c r="AR171" s="339">
        <f t="shared" si="104"/>
        <v>-0.33400000000000002</v>
      </c>
      <c r="AS171" s="225"/>
      <c r="AT171" s="20"/>
      <c r="AU171" s="20" t="s">
        <v>524</v>
      </c>
      <c r="AV171" s="20"/>
      <c r="AW171" s="332">
        <v>-0.13933999999999999</v>
      </c>
      <c r="AX171" s="332">
        <v>0</v>
      </c>
      <c r="AY171" s="332">
        <f t="shared" si="111"/>
        <v>-0.13933999999999999</v>
      </c>
      <c r="AZ171" s="20"/>
      <c r="BA171" s="20"/>
      <c r="BB171" s="20"/>
      <c r="BC171" s="20"/>
      <c r="BD171" s="221" t="e">
        <f>-SUMIF(#REF!,'pôles &amp; actions'!$C171,#REF!)/1000</f>
        <v>#REF!</v>
      </c>
      <c r="BE171" s="221" t="e">
        <f>SUMIF(#REF!,'pôles &amp; actions'!$C171,#REF!)/1000</f>
        <v>#REF!</v>
      </c>
      <c r="BF171" s="221" t="e">
        <f t="shared" si="105"/>
        <v>#REF!</v>
      </c>
      <c r="BG171" s="221" t="e">
        <f t="shared" si="119"/>
        <v>#REF!</v>
      </c>
      <c r="BK171" s="345">
        <v>-0.33400000000000002</v>
      </c>
      <c r="BL171" s="345"/>
      <c r="BM171" s="345">
        <f t="shared" si="112"/>
        <v>-0.33400000000000002</v>
      </c>
      <c r="BN171" s="225"/>
    </row>
    <row r="172" spans="1:66" ht="15" customHeight="1" outlineLevel="1" x14ac:dyDescent="0.25">
      <c r="A172" s="324">
        <v>160</v>
      </c>
      <c r="B172" s="392" t="s">
        <v>226</v>
      </c>
      <c r="C172" s="393"/>
      <c r="D172" s="41">
        <f>D170</f>
        <v>0</v>
      </c>
      <c r="E172" s="41">
        <f>E170</f>
        <v>0</v>
      </c>
      <c r="F172" s="41">
        <f>SUM(D172:E172)</f>
        <v>0</v>
      </c>
      <c r="G172" s="38"/>
      <c r="H172" s="39"/>
      <c r="I172" s="41">
        <f>SUM(I162:I171)</f>
        <v>0</v>
      </c>
      <c r="J172" s="41">
        <f>SUM(J162:J171)</f>
        <v>0</v>
      </c>
      <c r="K172" s="41">
        <f>SUM(K162:K171)</f>
        <v>0</v>
      </c>
      <c r="L172" s="38"/>
      <c r="M172" s="38"/>
      <c r="N172" s="41" t="e">
        <f>SUM(N162:N171)</f>
        <v>#REF!</v>
      </c>
      <c r="O172" s="41" t="e">
        <f>SUM(O162:O171)</f>
        <v>#REF!</v>
      </c>
      <c r="P172" s="41" t="e">
        <f>SUM(P162:P171)</f>
        <v>#REF!</v>
      </c>
      <c r="Q172" s="39"/>
      <c r="R172" s="158">
        <f>SUM(R162:R171)</f>
        <v>-44</v>
      </c>
      <c r="S172" s="158">
        <f>SUM(S162:S171)</f>
        <v>28.255000000000003</v>
      </c>
      <c r="T172" s="158">
        <f>SUM(T162:T171)</f>
        <v>-15.744999999999997</v>
      </c>
      <c r="U172" s="41"/>
      <c r="V172" s="408">
        <f>SUM(V162:V171)</f>
        <v>-28.066589999999998</v>
      </c>
      <c r="W172" s="408">
        <f>SUM(W162:W171)</f>
        <v>20.151159999999997</v>
      </c>
      <c r="X172" s="408">
        <f>SUM(X162:X171)</f>
        <v>-7.9154299999999997</v>
      </c>
      <c r="Y172" s="80"/>
      <c r="Z172" s="80">
        <f t="shared" ref="Z172" si="120">SUM(Z162:Z171)</f>
        <v>0</v>
      </c>
      <c r="AA172" s="39"/>
      <c r="AB172" s="249">
        <f>SUM(AB162:AB171)</f>
        <v>-37.919999999999995</v>
      </c>
      <c r="AC172" s="249">
        <f>SUM(AC162:AC171)</f>
        <v>24.299999999999997</v>
      </c>
      <c r="AD172" s="249">
        <f>SUM(AD162:AD171)</f>
        <v>-13.62</v>
      </c>
      <c r="AE172" s="41"/>
      <c r="AF172" s="80"/>
      <c r="AG172" s="194"/>
      <c r="AH172" s="195"/>
      <c r="AI172" s="149">
        <f>SUM(AI162:AI171)</f>
        <v>-36.210260000000005</v>
      </c>
      <c r="AJ172" s="149">
        <f>SUM(AJ162:AJ171)</f>
        <v>31.22672</v>
      </c>
      <c r="AK172" s="149">
        <f>AJ172+AI172</f>
        <v>-4.983540000000005</v>
      </c>
      <c r="AL172" s="81"/>
      <c r="AM172" s="81"/>
      <c r="AN172" s="81"/>
      <c r="AO172" s="81"/>
      <c r="AP172" s="418">
        <f>SUM(AP162:AP171)</f>
        <v>-20.834</v>
      </c>
      <c r="AQ172" s="418">
        <f>SUM(AQ162:AQ171)</f>
        <v>11.9</v>
      </c>
      <c r="AR172" s="418">
        <f t="shared" si="104"/>
        <v>-8.9339999999999993</v>
      </c>
      <c r="AS172" s="226"/>
      <c r="AT172" s="272">
        <f>SUM(AT162:AT171)</f>
        <v>19</v>
      </c>
      <c r="AU172" s="81"/>
      <c r="AV172" s="81"/>
      <c r="AW172" s="333">
        <f>SUM(AW162:AW171)</f>
        <v>-25.998380000000001</v>
      </c>
      <c r="AX172" s="333">
        <f>SUM(AX162:AX171)</f>
        <v>21.272559999999999</v>
      </c>
      <c r="AY172" s="333">
        <f t="shared" si="111"/>
        <v>-4.7258200000000024</v>
      </c>
      <c r="AZ172" s="81"/>
      <c r="BA172" s="81"/>
      <c r="BB172" s="81"/>
      <c r="BC172" s="81"/>
      <c r="BD172" s="227" t="e">
        <f>SUM(BD162:BD171)</f>
        <v>#REF!</v>
      </c>
      <c r="BE172" s="227" t="e">
        <f>SUM(BE162:BE171)</f>
        <v>#REF!</v>
      </c>
      <c r="BF172" s="227" t="e">
        <f t="shared" si="105"/>
        <v>#REF!</v>
      </c>
      <c r="BG172" s="221" t="e">
        <f t="shared" si="119"/>
        <v>#REF!</v>
      </c>
      <c r="BK172" s="436">
        <f>SUM(BK162:BK171)</f>
        <v>-49.134</v>
      </c>
      <c r="BL172" s="436">
        <f>SUM(BL162:BL171)</f>
        <v>12.5</v>
      </c>
      <c r="BM172" s="436">
        <f t="shared" si="112"/>
        <v>-36.634</v>
      </c>
      <c r="BN172" s="226"/>
    </row>
    <row r="173" spans="1:66" ht="15" customHeight="1" outlineLevel="1" x14ac:dyDescent="0.25">
      <c r="A173" s="324">
        <v>161</v>
      </c>
      <c r="B173" s="385" t="s">
        <v>227</v>
      </c>
      <c r="C173" s="386" t="s">
        <v>228</v>
      </c>
      <c r="D173" s="37"/>
      <c r="E173" s="37">
        <v>2</v>
      </c>
      <c r="F173" s="37">
        <f>SUM(D173:E173)</f>
        <v>2</v>
      </c>
      <c r="G173" s="38"/>
      <c r="H173" s="39"/>
      <c r="I173" s="37">
        <v>0</v>
      </c>
      <c r="J173" s="37">
        <v>1</v>
      </c>
      <c r="K173" s="37">
        <f>SUM(I173:J173)</f>
        <v>1</v>
      </c>
      <c r="L173" s="38"/>
      <c r="M173" s="38"/>
      <c r="N173" s="37" t="e">
        <f>-SUMIF(#REF!,$C173,#REF!)/1000</f>
        <v>#REF!</v>
      </c>
      <c r="O173" s="37" t="e">
        <f>SUMIF(#REF!,$C173,#REF!)/1000</f>
        <v>#REF!</v>
      </c>
      <c r="P173" s="37" t="e">
        <f>N173+O173</f>
        <v>#REF!</v>
      </c>
      <c r="Q173" s="39"/>
      <c r="R173" s="159">
        <v>0</v>
      </c>
      <c r="S173" s="159">
        <v>2</v>
      </c>
      <c r="T173" s="159">
        <f>R173+S173</f>
        <v>2</v>
      </c>
      <c r="U173" s="37"/>
      <c r="V173" s="416">
        <v>0</v>
      </c>
      <c r="W173" s="416">
        <v>0.1</v>
      </c>
      <c r="X173" s="416">
        <f>SUM(V173:W173)</f>
        <v>0.1</v>
      </c>
      <c r="Y173" s="46"/>
      <c r="Z173" s="46"/>
      <c r="AA173" s="39"/>
      <c r="AB173" s="256">
        <v>0</v>
      </c>
      <c r="AC173" s="256">
        <v>1</v>
      </c>
      <c r="AD173" s="256">
        <f>AB173+AC173</f>
        <v>1</v>
      </c>
      <c r="AE173" s="193"/>
      <c r="AF173" s="199"/>
      <c r="AG173" s="194"/>
      <c r="AH173" s="195"/>
      <c r="AI173" s="148">
        <v>0</v>
      </c>
      <c r="AJ173" s="148">
        <v>0.5</v>
      </c>
      <c r="AK173" s="148">
        <v>0.5</v>
      </c>
      <c r="AL173" s="20"/>
      <c r="AM173" s="20"/>
      <c r="AN173" s="20"/>
      <c r="AO173" s="20"/>
      <c r="AP173" s="339"/>
      <c r="AQ173" s="339">
        <v>1</v>
      </c>
      <c r="AR173" s="339">
        <f t="shared" si="104"/>
        <v>1</v>
      </c>
      <c r="AS173" s="225"/>
      <c r="AT173" s="20"/>
      <c r="AU173" s="20"/>
      <c r="AV173" s="20"/>
      <c r="AW173" s="332">
        <v>0</v>
      </c>
      <c r="AX173" s="332">
        <v>0.8</v>
      </c>
      <c r="AY173" s="332">
        <f t="shared" si="111"/>
        <v>0.8</v>
      </c>
      <c r="AZ173" s="20"/>
      <c r="BA173" s="20"/>
      <c r="BB173" s="20"/>
      <c r="BC173" s="20"/>
      <c r="BD173" s="221" t="e">
        <f>-SUMIF(#REF!,'pôles &amp; actions'!$C173,#REF!)/1000</f>
        <v>#REF!</v>
      </c>
      <c r="BE173" s="221" t="e">
        <f>SUMIF(#REF!,'pôles &amp; actions'!$C173,#REF!)/1000</f>
        <v>#REF!</v>
      </c>
      <c r="BF173" s="221" t="e">
        <f t="shared" si="105"/>
        <v>#REF!</v>
      </c>
      <c r="BG173" s="221" t="e">
        <f t="shared" si="119"/>
        <v>#REF!</v>
      </c>
      <c r="BK173" s="345"/>
      <c r="BL173" s="345">
        <v>1</v>
      </c>
      <c r="BM173" s="345">
        <f t="shared" si="112"/>
        <v>1</v>
      </c>
      <c r="BN173" s="225"/>
    </row>
    <row r="174" spans="1:66" ht="15" customHeight="1" x14ac:dyDescent="0.25">
      <c r="A174" s="324">
        <v>162</v>
      </c>
      <c r="B174" s="387" t="s">
        <v>229</v>
      </c>
      <c r="C174" s="388"/>
      <c r="D174" s="42">
        <f>SUM(D161:D173)</f>
        <v>-35</v>
      </c>
      <c r="E174" s="42">
        <f>SUM(E161:E173)</f>
        <v>2</v>
      </c>
      <c r="F174" s="42">
        <f>SUM(D174:E174)</f>
        <v>-33</v>
      </c>
      <c r="G174" s="38"/>
      <c r="H174" s="39"/>
      <c r="I174" s="42">
        <f>SUM(I161+I172+I173)</f>
        <v>-54.8</v>
      </c>
      <c r="J174" s="42">
        <f>SUM(J161+J172+J173)</f>
        <v>12.9</v>
      </c>
      <c r="K174" s="42">
        <f>SUM(I174:J174)</f>
        <v>-41.9</v>
      </c>
      <c r="L174" s="38"/>
      <c r="M174" s="38"/>
      <c r="N174" s="42" t="e">
        <f>SUM(N161+N172+N173)</f>
        <v>#REF!</v>
      </c>
      <c r="O174" s="42" t="e">
        <f>SUM(O161+O172+O173)</f>
        <v>#REF!</v>
      </c>
      <c r="P174" s="42" t="e">
        <f>SUM(P161+P172+P173)</f>
        <v>#REF!</v>
      </c>
      <c r="Q174" s="39"/>
      <c r="R174" s="92">
        <f>SUM(R161+R172+R173)</f>
        <v>-82.5</v>
      </c>
      <c r="S174" s="92">
        <f>SUM(S161+S172+S173)</f>
        <v>30.255000000000003</v>
      </c>
      <c r="T174" s="92">
        <f>SUM(T161+T172+T173)</f>
        <v>-52.244999999999997</v>
      </c>
      <c r="U174" s="42"/>
      <c r="V174" s="410">
        <f>SUM(V161+V172+V173)</f>
        <v>-75.297930000000008</v>
      </c>
      <c r="W174" s="410">
        <f>SUM(W161+W172+W173)</f>
        <v>26.079159999999998</v>
      </c>
      <c r="X174" s="410">
        <f>SUM(X161+X172+X173)</f>
        <v>-49.218769999999999</v>
      </c>
      <c r="Y174" s="67"/>
      <c r="Z174" s="67">
        <f t="shared" ref="Z174" si="121">SUM(Z161+Z172+Z173)</f>
        <v>0</v>
      </c>
      <c r="AA174" s="39"/>
      <c r="AB174" s="257">
        <f>SUM(AB161+AB172+AB173)</f>
        <v>-80.419999999999987</v>
      </c>
      <c r="AC174" s="258">
        <f>SUM(AC161+AC172+AC173)</f>
        <v>25.299999999999997</v>
      </c>
      <c r="AD174" s="232">
        <f>SUM(AD161+AD172+AD173)</f>
        <v>-55.12</v>
      </c>
      <c r="AE174" s="41"/>
      <c r="AF174" s="80"/>
      <c r="AG174" s="194"/>
      <c r="AH174" s="195"/>
      <c r="AI174" s="230">
        <f>SUM(AI161+AI172+AI173)</f>
        <v>-75.965260000000001</v>
      </c>
      <c r="AJ174" s="230">
        <f>SUM(AJ161+AJ172+AJ173)</f>
        <v>32.090720000000005</v>
      </c>
      <c r="AK174" s="237">
        <f>AJ174+AI174</f>
        <v>-43.874539999999996</v>
      </c>
      <c r="AL174" s="242"/>
      <c r="AM174" s="242"/>
      <c r="AN174" s="242"/>
      <c r="AO174" s="20"/>
      <c r="AP174" s="418">
        <f>SUM(AP161+AP172+AP173)</f>
        <v>-66.834000000000003</v>
      </c>
      <c r="AQ174" s="418">
        <f>SUM(AQ161+AQ172+AQ173)</f>
        <v>12.9</v>
      </c>
      <c r="AR174" s="418">
        <f t="shared" si="104"/>
        <v>-53.934000000000005</v>
      </c>
      <c r="AS174" s="225"/>
      <c r="AT174" s="20"/>
      <c r="AU174" s="20"/>
      <c r="AV174" s="20"/>
      <c r="AW174" s="433">
        <f>SUM(AW161+AW172+AW173)</f>
        <v>-78.549679999999995</v>
      </c>
      <c r="AX174" s="433">
        <f>SUM(AX161+AX172+AX173)</f>
        <v>22.621559999999999</v>
      </c>
      <c r="AY174" s="434">
        <f t="shared" si="111"/>
        <v>-55.928119999999993</v>
      </c>
      <c r="AZ174" s="20"/>
      <c r="BA174" s="20"/>
      <c r="BB174" s="20"/>
      <c r="BC174" s="20"/>
      <c r="BD174" s="221" t="e">
        <f>SUM(BD161+BD172+BD173)</f>
        <v>#REF!</v>
      </c>
      <c r="BE174" s="221" t="e">
        <f>SUM(BE161+BE172+BE173)</f>
        <v>#REF!</v>
      </c>
      <c r="BF174" s="221" t="e">
        <f t="shared" si="105"/>
        <v>#REF!</v>
      </c>
      <c r="BG174" s="221" t="e">
        <f t="shared" si="119"/>
        <v>#REF!</v>
      </c>
      <c r="BK174" s="436">
        <f>SUM(BK161+BK172+BK173)</f>
        <v>-101.134</v>
      </c>
      <c r="BL174" s="436">
        <f>SUM(BL161+BL172+BL173)</f>
        <v>13.5</v>
      </c>
      <c r="BM174" s="436">
        <f t="shared" si="112"/>
        <v>-87.634</v>
      </c>
      <c r="BN174" s="225"/>
    </row>
    <row r="175" spans="1:66" ht="15" customHeight="1" x14ac:dyDescent="0.25">
      <c r="A175" s="324">
        <v>163</v>
      </c>
      <c r="B175" s="392"/>
      <c r="C175" s="393"/>
      <c r="D175" s="41"/>
      <c r="E175" s="41"/>
      <c r="F175" s="41"/>
      <c r="G175" s="38"/>
      <c r="H175" s="39"/>
      <c r="I175" s="41"/>
      <c r="J175" s="41"/>
      <c r="K175" s="41"/>
      <c r="L175" s="38"/>
      <c r="M175" s="38"/>
      <c r="N175" s="41"/>
      <c r="O175" s="41"/>
      <c r="P175" s="41"/>
      <c r="Q175" s="39"/>
      <c r="R175" s="91"/>
      <c r="S175" s="91"/>
      <c r="T175" s="91"/>
      <c r="U175" s="41"/>
      <c r="V175" s="414"/>
      <c r="W175" s="414"/>
      <c r="X175" s="414"/>
      <c r="Y175" s="80"/>
      <c r="Z175" s="80"/>
      <c r="AA175" s="39"/>
      <c r="AB175" s="254"/>
      <c r="AC175" s="254"/>
      <c r="AD175" s="254"/>
      <c r="AE175" s="203"/>
      <c r="AF175" s="199"/>
      <c r="AG175" s="194"/>
      <c r="AH175" s="195"/>
      <c r="AI175" s="608"/>
      <c r="AJ175" s="608"/>
      <c r="AK175" s="608"/>
      <c r="AL175" s="20"/>
      <c r="AM175" s="20"/>
      <c r="AN175" s="20"/>
      <c r="AO175" s="20"/>
      <c r="AP175" s="605"/>
      <c r="AQ175" s="605"/>
      <c r="AR175" s="605"/>
      <c r="AS175" s="225"/>
      <c r="AT175" s="20"/>
      <c r="AU175" s="20"/>
      <c r="AV175" s="20"/>
      <c r="AW175" s="598"/>
      <c r="AX175" s="598"/>
      <c r="AY175" s="598"/>
      <c r="AZ175" s="20"/>
      <c r="BA175" s="20"/>
      <c r="BB175" s="20"/>
      <c r="BC175" s="20"/>
      <c r="BD175" s="599"/>
      <c r="BE175" s="599"/>
      <c r="BF175" s="599"/>
      <c r="BG175" s="221">
        <f t="shared" si="119"/>
        <v>0</v>
      </c>
      <c r="BK175" s="593"/>
      <c r="BL175" s="593"/>
      <c r="BM175" s="593"/>
      <c r="BN175" s="225"/>
    </row>
    <row r="176" spans="1:66" ht="15" customHeight="1" x14ac:dyDescent="0.25">
      <c r="A176" s="324">
        <v>164</v>
      </c>
      <c r="B176" s="392"/>
      <c r="C176" s="393"/>
      <c r="D176" s="41"/>
      <c r="E176" s="41"/>
      <c r="F176" s="41"/>
      <c r="G176" s="38"/>
      <c r="H176" s="39"/>
      <c r="I176" s="41"/>
      <c r="J176" s="41"/>
      <c r="K176" s="41"/>
      <c r="L176" s="38"/>
      <c r="M176" s="38"/>
      <c r="N176" s="41"/>
      <c r="O176" s="41"/>
      <c r="P176" s="41"/>
      <c r="Q176" s="39"/>
      <c r="R176" s="91"/>
      <c r="S176" s="91"/>
      <c r="T176" s="91"/>
      <c r="U176" s="41"/>
      <c r="V176" s="414"/>
      <c r="W176" s="414"/>
      <c r="X176" s="414"/>
      <c r="Y176" s="80"/>
      <c r="Z176" s="80"/>
      <c r="AA176" s="39"/>
      <c r="AB176" s="254"/>
      <c r="AC176" s="254"/>
      <c r="AD176" s="254"/>
      <c r="AE176" s="203"/>
      <c r="AF176" s="199"/>
      <c r="AG176" s="194"/>
      <c r="AH176" s="195"/>
      <c r="AI176" s="604"/>
      <c r="AJ176" s="604"/>
      <c r="AK176" s="604"/>
      <c r="AL176" s="20"/>
      <c r="AM176" s="20"/>
      <c r="AN176" s="20"/>
      <c r="AO176" s="20"/>
      <c r="AP176" s="605"/>
      <c r="AQ176" s="605"/>
      <c r="AR176" s="605"/>
      <c r="AS176" s="225"/>
      <c r="AT176" s="20"/>
      <c r="AU176" s="20"/>
      <c r="AV176" s="20"/>
      <c r="AW176" s="595"/>
      <c r="AX176" s="595"/>
      <c r="AY176" s="595"/>
      <c r="AZ176" s="20"/>
      <c r="BA176" s="20"/>
      <c r="BB176" s="20"/>
      <c r="BC176" s="20"/>
      <c r="BD176" s="599"/>
      <c r="BE176" s="599"/>
      <c r="BF176" s="599"/>
      <c r="BG176" s="221">
        <f t="shared" si="119"/>
        <v>0</v>
      </c>
      <c r="BK176" s="593"/>
      <c r="BL176" s="593"/>
      <c r="BM176" s="593"/>
      <c r="BN176" s="225"/>
    </row>
    <row r="177" spans="1:66" ht="15" customHeight="1" x14ac:dyDescent="0.25">
      <c r="A177" s="324">
        <v>165</v>
      </c>
      <c r="B177" s="396" t="str">
        <f>B$4</f>
        <v>en k€</v>
      </c>
      <c r="C177" s="384"/>
      <c r="D177" s="43" t="s">
        <v>8</v>
      </c>
      <c r="E177" s="43" t="s">
        <v>9</v>
      </c>
      <c r="F177" s="43" t="s">
        <v>64</v>
      </c>
      <c r="G177" s="38"/>
      <c r="H177" s="39"/>
      <c r="I177" s="43" t="s">
        <v>8</v>
      </c>
      <c r="J177" s="43" t="s">
        <v>9</v>
      </c>
      <c r="K177" s="44" t="str">
        <f>K$4</f>
        <v>2018a</v>
      </c>
      <c r="L177" s="38"/>
      <c r="M177" s="38"/>
      <c r="N177" s="43" t="s">
        <v>8</v>
      </c>
      <c r="O177" s="43" t="s">
        <v>9</v>
      </c>
      <c r="P177" s="44" t="str">
        <f>P$4</f>
        <v>2019a</v>
      </c>
      <c r="Q177" s="39"/>
      <c r="R177" s="93" t="s">
        <v>8</v>
      </c>
      <c r="S177" s="93" t="s">
        <v>9</v>
      </c>
      <c r="T177" s="93" t="s">
        <v>64</v>
      </c>
      <c r="U177" s="43"/>
      <c r="V177" s="411" t="s">
        <v>8</v>
      </c>
      <c r="W177" s="411" t="s">
        <v>9</v>
      </c>
      <c r="X177" s="412" t="str">
        <f>X$4</f>
        <v>2020a</v>
      </c>
      <c r="Y177" s="80"/>
      <c r="Z177" s="80"/>
      <c r="AA177" s="39"/>
      <c r="AB177" s="235" t="s">
        <v>8</v>
      </c>
      <c r="AC177" s="235" t="s">
        <v>9</v>
      </c>
      <c r="AD177" s="236" t="str">
        <f>AD$4</f>
        <v>résultat</v>
      </c>
      <c r="AE177" s="192"/>
      <c r="AF177" s="199"/>
      <c r="AI177" s="140" t="s">
        <v>8</v>
      </c>
      <c r="AJ177" s="140" t="s">
        <v>9</v>
      </c>
      <c r="AK177" s="95" t="s">
        <v>64</v>
      </c>
      <c r="AL177" s="20"/>
      <c r="AM177" s="20"/>
      <c r="AN177" s="20"/>
      <c r="AO177" s="20"/>
      <c r="AP177" s="422" t="s">
        <v>8</v>
      </c>
      <c r="AQ177" s="422" t="s">
        <v>9</v>
      </c>
      <c r="AR177" s="423" t="str">
        <f>AR$4</f>
        <v>résultat</v>
      </c>
      <c r="AS177" s="225"/>
      <c r="AT177" s="20"/>
      <c r="AU177" s="20"/>
      <c r="AV177" s="20"/>
      <c r="AW177" s="431" t="s">
        <v>8</v>
      </c>
      <c r="AX177" s="431" t="s">
        <v>9</v>
      </c>
      <c r="AY177" s="432" t="s">
        <v>64</v>
      </c>
      <c r="AZ177" s="20"/>
      <c r="BA177" s="20"/>
      <c r="BB177" s="20"/>
      <c r="BC177" s="20"/>
      <c r="BD177" s="233" t="s">
        <v>8</v>
      </c>
      <c r="BE177" s="233" t="s">
        <v>9</v>
      </c>
      <c r="BF177" s="234" t="str">
        <f>BF$4</f>
        <v>résultat</v>
      </c>
      <c r="BG177" s="221"/>
      <c r="BK177" s="440" t="s">
        <v>8</v>
      </c>
      <c r="BL177" s="440" t="s">
        <v>9</v>
      </c>
      <c r="BM177" s="441" t="str">
        <f>BM$4</f>
        <v>résultat</v>
      </c>
      <c r="BN177" s="225"/>
    </row>
    <row r="178" spans="1:66" ht="15" customHeight="1" outlineLevel="1" x14ac:dyDescent="0.25">
      <c r="A178" s="324">
        <v>166</v>
      </c>
      <c r="B178" s="385" t="s">
        <v>230</v>
      </c>
      <c r="C178" s="386" t="s">
        <v>231</v>
      </c>
      <c r="D178" s="37">
        <v>0</v>
      </c>
      <c r="E178" s="37">
        <v>0</v>
      </c>
      <c r="F178" s="37">
        <f t="shared" ref="F178:F189" si="122">SUM(D178:E178)</f>
        <v>0</v>
      </c>
      <c r="G178" s="38"/>
      <c r="H178" s="39"/>
      <c r="I178" s="37">
        <v>0</v>
      </c>
      <c r="J178" s="37">
        <v>0</v>
      </c>
      <c r="K178" s="37">
        <f t="shared" ref="K178:K188" si="123">SUM(I178:J178)</f>
        <v>0</v>
      </c>
      <c r="L178" s="38"/>
      <c r="M178" s="38"/>
      <c r="N178" s="37" t="e">
        <f>-SUMIF(#REF!,$C178,#REF!)/1000</f>
        <v>#REF!</v>
      </c>
      <c r="O178" s="37" t="e">
        <f>SUMIF(#REF!,$C178,#REF!)/1000</f>
        <v>#REF!</v>
      </c>
      <c r="P178" s="37" t="e">
        <f t="shared" ref="P178:P188" si="124">N178+O178</f>
        <v>#REF!</v>
      </c>
      <c r="Q178" s="39"/>
      <c r="R178" s="90">
        <v>0</v>
      </c>
      <c r="S178" s="90">
        <v>0</v>
      </c>
      <c r="T178" s="90">
        <f t="shared" ref="T178:T188" si="125">R178+S178</f>
        <v>0</v>
      </c>
      <c r="U178" s="37"/>
      <c r="V178" s="415">
        <v>0</v>
      </c>
      <c r="W178" s="415">
        <v>0</v>
      </c>
      <c r="X178" s="415">
        <f>SUM(V178:W178)</f>
        <v>0</v>
      </c>
      <c r="Y178" s="46"/>
      <c r="Z178" s="46"/>
      <c r="AA178" s="39"/>
      <c r="AB178" s="255">
        <v>0</v>
      </c>
      <c r="AC178" s="255">
        <v>0</v>
      </c>
      <c r="AD178" s="255">
        <f t="shared" ref="AD178:AD188" si="126">AB178+AC178</f>
        <v>0</v>
      </c>
      <c r="AE178" s="193"/>
      <c r="AF178" s="199"/>
      <c r="AG178" s="194"/>
      <c r="AH178" s="195"/>
      <c r="AI178" s="148"/>
      <c r="AJ178" s="148"/>
      <c r="AK178" s="148">
        <f t="shared" ref="AK178:AK179" si="127">AI178+AJ178</f>
        <v>0</v>
      </c>
      <c r="AL178" s="20"/>
      <c r="AM178" s="20"/>
      <c r="AN178" s="20"/>
      <c r="AO178" s="20"/>
      <c r="AP178" s="339"/>
      <c r="AQ178" s="339"/>
      <c r="AR178" s="339">
        <f t="shared" ref="AR178" si="128">AP178+AQ178</f>
        <v>0</v>
      </c>
      <c r="AS178" s="225"/>
      <c r="AT178" s="20"/>
      <c r="AU178" s="20"/>
      <c r="AV178" s="20"/>
      <c r="AW178" s="332"/>
      <c r="AX178" s="332"/>
      <c r="AY178" s="332">
        <f t="shared" ref="AY178:AY197" si="129">AX178+AW178</f>
        <v>0</v>
      </c>
      <c r="AZ178" s="20"/>
      <c r="BA178" s="20"/>
      <c r="BB178" s="20"/>
      <c r="BC178" s="20"/>
      <c r="BD178" s="221" t="e">
        <f>-SUMIF(#REF!,'pôles &amp; actions'!$C178,#REF!)/1000</f>
        <v>#REF!</v>
      </c>
      <c r="BE178" s="221" t="e">
        <f>SUMIF(#REF!,'pôles &amp; actions'!$C178,#REF!)/1000</f>
        <v>#REF!</v>
      </c>
      <c r="BF178" s="221" t="e">
        <f t="shared" si="105"/>
        <v>#REF!</v>
      </c>
      <c r="BG178" s="221"/>
      <c r="BK178" s="345"/>
      <c r="BL178" s="345"/>
      <c r="BM178" s="345">
        <f t="shared" ref="BM178" si="130">BK178+BL178</f>
        <v>0</v>
      </c>
      <c r="BN178" s="225"/>
    </row>
    <row r="179" spans="1:66" ht="15" customHeight="1" outlineLevel="1" x14ac:dyDescent="0.25">
      <c r="A179" s="324">
        <v>167</v>
      </c>
      <c r="B179" s="385" t="s">
        <v>232</v>
      </c>
      <c r="C179" s="386" t="s">
        <v>233</v>
      </c>
      <c r="D179" s="37">
        <v>0</v>
      </c>
      <c r="E179" s="37">
        <v>0</v>
      </c>
      <c r="F179" s="37">
        <f t="shared" si="122"/>
        <v>0</v>
      </c>
      <c r="G179" s="38"/>
      <c r="H179" s="39"/>
      <c r="I179" s="37">
        <v>0</v>
      </c>
      <c r="J179" s="37">
        <v>0</v>
      </c>
      <c r="K179" s="37">
        <f t="shared" si="123"/>
        <v>0</v>
      </c>
      <c r="L179" s="38"/>
      <c r="M179" s="38"/>
      <c r="N179" s="37" t="e">
        <f>-SUMIF(#REF!,$C179,#REF!)/1000</f>
        <v>#REF!</v>
      </c>
      <c r="O179" s="37" t="e">
        <f>SUMIF(#REF!,$C179,#REF!)/1000</f>
        <v>#REF!</v>
      </c>
      <c r="P179" s="37" t="e">
        <f t="shared" si="124"/>
        <v>#REF!</v>
      </c>
      <c r="Q179" s="39"/>
      <c r="R179" s="90">
        <v>0</v>
      </c>
      <c r="S179" s="90">
        <v>0</v>
      </c>
      <c r="T179" s="90">
        <f t="shared" si="125"/>
        <v>0</v>
      </c>
      <c r="U179" s="37"/>
      <c r="V179" s="415">
        <v>0</v>
      </c>
      <c r="W179" s="415">
        <v>0</v>
      </c>
      <c r="X179" s="415">
        <f t="shared" ref="X179:X188" si="131">SUM(V179:W179)</f>
        <v>0</v>
      </c>
      <c r="Y179" s="46"/>
      <c r="Z179" s="46"/>
      <c r="AA179" s="39"/>
      <c r="AB179" s="255">
        <v>0</v>
      </c>
      <c r="AC179" s="255">
        <v>0</v>
      </c>
      <c r="AD179" s="255">
        <f t="shared" si="126"/>
        <v>0</v>
      </c>
      <c r="AE179" s="193"/>
      <c r="AF179" s="199"/>
      <c r="AG179" s="194"/>
      <c r="AH179" s="195"/>
      <c r="AI179" s="148"/>
      <c r="AJ179" s="148"/>
      <c r="AK179" s="148">
        <f t="shared" si="127"/>
        <v>0</v>
      </c>
      <c r="AL179" s="20"/>
      <c r="AM179" s="20"/>
      <c r="AN179" s="20"/>
      <c r="AO179" s="20"/>
      <c r="AP179" s="339"/>
      <c r="AQ179" s="339"/>
      <c r="AR179" s="339">
        <f t="shared" si="104"/>
        <v>0</v>
      </c>
      <c r="AS179" s="225"/>
      <c r="AT179" s="20"/>
      <c r="AU179" s="20"/>
      <c r="AV179" s="20"/>
      <c r="AW179" s="332"/>
      <c r="AX179" s="332"/>
      <c r="AY179" s="332">
        <f t="shared" si="129"/>
        <v>0</v>
      </c>
      <c r="AZ179" s="20"/>
      <c r="BA179" s="20"/>
      <c r="BB179" s="20"/>
      <c r="BC179" s="20"/>
      <c r="BD179" s="221" t="e">
        <f>-SUMIF(#REF!,'pôles &amp; actions'!$C179,#REF!)/1000</f>
        <v>#REF!</v>
      </c>
      <c r="BE179" s="221" t="e">
        <f>SUMIF(#REF!,'pôles &amp; actions'!$C179,#REF!)/1000</f>
        <v>#REF!</v>
      </c>
      <c r="BF179" s="221" t="e">
        <f t="shared" si="105"/>
        <v>#REF!</v>
      </c>
      <c r="BG179" s="221" t="e">
        <f t="shared" ref="BG179:BG197" si="132">AR179-BF179</f>
        <v>#REF!</v>
      </c>
      <c r="BK179" s="345"/>
      <c r="BL179" s="345"/>
      <c r="BM179" s="345">
        <f t="shared" ref="BM179:BM197" si="133">BK179+BL179</f>
        <v>0</v>
      </c>
      <c r="BN179" s="225"/>
    </row>
    <row r="180" spans="1:66" ht="15" customHeight="1" x14ac:dyDescent="0.25">
      <c r="A180" s="324">
        <v>168</v>
      </c>
      <c r="B180" s="385" t="s">
        <v>234</v>
      </c>
      <c r="C180" s="386" t="s">
        <v>235</v>
      </c>
      <c r="D180" s="37">
        <v>0</v>
      </c>
      <c r="E180" s="37">
        <v>0</v>
      </c>
      <c r="F180" s="37">
        <f t="shared" si="122"/>
        <v>0</v>
      </c>
      <c r="G180" s="38"/>
      <c r="H180" s="39"/>
      <c r="I180" s="37">
        <v>-0.5</v>
      </c>
      <c r="J180" s="37">
        <v>0.1</v>
      </c>
      <c r="K180" s="37">
        <f t="shared" si="123"/>
        <v>-0.4</v>
      </c>
      <c r="L180" s="38"/>
      <c r="M180" s="38"/>
      <c r="N180" s="37" t="e">
        <f>-SUMIF(#REF!,$C180,#REF!)/1000</f>
        <v>#REF!</v>
      </c>
      <c r="O180" s="37" t="e">
        <f>SUMIF(#REF!,$C180,#REF!)/1000</f>
        <v>#REF!</v>
      </c>
      <c r="P180" s="37" t="e">
        <f t="shared" si="124"/>
        <v>#REF!</v>
      </c>
      <c r="Q180" s="39"/>
      <c r="R180" s="156">
        <v>-2.2000000000000002</v>
      </c>
      <c r="S180" s="156">
        <v>0</v>
      </c>
      <c r="T180" s="156">
        <f t="shared" si="125"/>
        <v>-2.2000000000000002</v>
      </c>
      <c r="U180" s="37"/>
      <c r="V180" s="406">
        <v>0</v>
      </c>
      <c r="W180" s="406">
        <v>0</v>
      </c>
      <c r="X180" s="406">
        <f t="shared" si="131"/>
        <v>0</v>
      </c>
      <c r="Y180" s="46"/>
      <c r="Z180" s="131" t="s">
        <v>414</v>
      </c>
      <c r="AA180" s="39"/>
      <c r="AB180" s="247">
        <v>-0.5</v>
      </c>
      <c r="AC180" s="247">
        <v>0</v>
      </c>
      <c r="AD180" s="247">
        <f t="shared" si="126"/>
        <v>-0.5</v>
      </c>
      <c r="AE180" s="193"/>
      <c r="AF180" s="199"/>
      <c r="AG180" s="194"/>
      <c r="AH180" s="195"/>
      <c r="AI180" s="163">
        <v>-4.8149999999999998E-2</v>
      </c>
      <c r="AJ180" s="163">
        <v>0.06</v>
      </c>
      <c r="AK180" s="163">
        <v>1.1849999999999999E-2</v>
      </c>
      <c r="AL180" s="20"/>
      <c r="AM180" s="20"/>
      <c r="AN180" s="20"/>
      <c r="AO180" s="20"/>
      <c r="AP180" s="339"/>
      <c r="AQ180" s="339"/>
      <c r="AR180" s="339">
        <f t="shared" si="104"/>
        <v>0</v>
      </c>
      <c r="AS180" s="225"/>
      <c r="AT180" s="20"/>
      <c r="AU180" s="20"/>
      <c r="AV180" s="20"/>
      <c r="AW180" s="331"/>
      <c r="AX180" s="331"/>
      <c r="AY180" s="331">
        <f t="shared" si="129"/>
        <v>0</v>
      </c>
      <c r="AZ180" s="20"/>
      <c r="BA180" s="20"/>
      <c r="BB180" s="20"/>
      <c r="BC180" s="20"/>
      <c r="BD180" s="221" t="e">
        <f>-SUMIF(#REF!,'pôles &amp; actions'!$C180,#REF!)/1000</f>
        <v>#REF!</v>
      </c>
      <c r="BE180" s="221" t="e">
        <f>SUMIF(#REF!,'pôles &amp; actions'!$C180,#REF!)/1000</f>
        <v>#REF!</v>
      </c>
      <c r="BF180" s="221" t="e">
        <f t="shared" si="105"/>
        <v>#REF!</v>
      </c>
      <c r="BG180" s="221" t="e">
        <f t="shared" si="132"/>
        <v>#REF!</v>
      </c>
      <c r="BK180" s="345"/>
      <c r="BL180" s="345"/>
      <c r="BM180" s="345">
        <f t="shared" si="133"/>
        <v>0</v>
      </c>
      <c r="BN180" s="225"/>
    </row>
    <row r="181" spans="1:66" ht="15" customHeight="1" x14ac:dyDescent="0.25">
      <c r="A181" s="324">
        <v>169</v>
      </c>
      <c r="B181" s="402" t="s">
        <v>236</v>
      </c>
      <c r="C181" s="403" t="s">
        <v>379</v>
      </c>
      <c r="D181" s="37"/>
      <c r="E181" s="37"/>
      <c r="F181" s="37"/>
      <c r="G181" s="38"/>
      <c r="H181" s="39"/>
      <c r="I181" s="37"/>
      <c r="J181" s="37"/>
      <c r="K181" s="45"/>
      <c r="L181" s="38"/>
      <c r="M181" s="38"/>
      <c r="N181" s="37"/>
      <c r="O181" s="37"/>
      <c r="P181" s="45"/>
      <c r="Q181" s="39"/>
      <c r="R181" s="157"/>
      <c r="S181" s="157"/>
      <c r="T181" s="157"/>
      <c r="U181" s="37"/>
      <c r="V181" s="407">
        <v>-9.5365000000000002</v>
      </c>
      <c r="W181" s="407">
        <v>0</v>
      </c>
      <c r="X181" s="407">
        <f t="shared" ref="X181:X185" si="134">SUM(V181:W181)</f>
        <v>-9.5365000000000002</v>
      </c>
      <c r="Y181" s="46"/>
      <c r="Z181" s="131" t="s">
        <v>417</v>
      </c>
      <c r="AA181" s="39"/>
      <c r="AB181" s="248">
        <v>-20</v>
      </c>
      <c r="AC181" s="248"/>
      <c r="AD181" s="248">
        <f t="shared" si="126"/>
        <v>-20</v>
      </c>
      <c r="AE181" s="193"/>
      <c r="AF181" s="199"/>
      <c r="AG181" s="194"/>
      <c r="AH181" s="195"/>
      <c r="AI181" s="163">
        <v>-2.4900000000000002</v>
      </c>
      <c r="AJ181" s="163">
        <v>0</v>
      </c>
      <c r="AK181" s="163">
        <v>-2.4900000000000002</v>
      </c>
      <c r="AL181" s="20"/>
      <c r="AM181" s="20"/>
      <c r="AN181" s="20"/>
      <c r="AO181" s="20"/>
      <c r="AP181" s="339">
        <f>-14-8.4</f>
        <v>-22.4</v>
      </c>
      <c r="AQ181" s="339"/>
      <c r="AR181" s="339">
        <f t="shared" si="104"/>
        <v>-22.4</v>
      </c>
      <c r="AS181" s="225"/>
      <c r="AT181" s="268">
        <v>14</v>
      </c>
      <c r="AU181" s="20" t="s">
        <v>528</v>
      </c>
      <c r="AV181" s="20"/>
      <c r="AW181" s="331">
        <v>-4.5497199999999998</v>
      </c>
      <c r="AX181" s="331">
        <v>0.9294</v>
      </c>
      <c r="AY181" s="331">
        <f t="shared" si="129"/>
        <v>-3.6203199999999995</v>
      </c>
      <c r="AZ181" s="20"/>
      <c r="BA181" s="20"/>
      <c r="BB181" s="20"/>
      <c r="BC181" s="20"/>
      <c r="BD181" s="221" t="e">
        <f>-SUMIF(#REF!,'pôles &amp; actions'!$C181,#REF!)/1000</f>
        <v>#REF!</v>
      </c>
      <c r="BE181" s="221" t="e">
        <f>SUMIF(#REF!,'pôles &amp; actions'!$C181,#REF!)/1000</f>
        <v>#REF!</v>
      </c>
      <c r="BF181" s="221" t="e">
        <f t="shared" si="105"/>
        <v>#REF!</v>
      </c>
      <c r="BG181" s="221" t="e">
        <f t="shared" si="132"/>
        <v>#REF!</v>
      </c>
      <c r="BK181" s="345">
        <v>-12</v>
      </c>
      <c r="BL181" s="345"/>
      <c r="BM181" s="345">
        <f t="shared" si="133"/>
        <v>-12</v>
      </c>
      <c r="BN181" s="225"/>
    </row>
    <row r="182" spans="1:66" ht="15" customHeight="1" x14ac:dyDescent="0.25">
      <c r="A182" s="324">
        <v>170</v>
      </c>
      <c r="B182" s="385" t="s">
        <v>237</v>
      </c>
      <c r="C182" s="403" t="s">
        <v>605</v>
      </c>
      <c r="D182" s="37"/>
      <c r="E182" s="37"/>
      <c r="F182" s="37"/>
      <c r="G182" s="38"/>
      <c r="H182" s="39"/>
      <c r="I182" s="37"/>
      <c r="J182" s="37"/>
      <c r="K182" s="45"/>
      <c r="L182" s="38"/>
      <c r="M182" s="38"/>
      <c r="N182" s="37"/>
      <c r="O182" s="37"/>
      <c r="P182" s="45"/>
      <c r="Q182" s="39"/>
      <c r="R182" s="157"/>
      <c r="S182" s="157"/>
      <c r="T182" s="157"/>
      <c r="U182" s="37"/>
      <c r="V182" s="407">
        <v>0</v>
      </c>
      <c r="W182" s="407">
        <v>0</v>
      </c>
      <c r="X182" s="407">
        <f t="shared" si="134"/>
        <v>0</v>
      </c>
      <c r="Y182" s="46"/>
      <c r="Z182" s="132" t="s">
        <v>420</v>
      </c>
      <c r="AA182" s="39"/>
      <c r="AB182" s="248">
        <v>-12</v>
      </c>
      <c r="AC182" s="248"/>
      <c r="AD182" s="248">
        <f t="shared" si="126"/>
        <v>-12</v>
      </c>
      <c r="AE182" s="193"/>
      <c r="AF182" s="199"/>
      <c r="AG182" s="194"/>
      <c r="AH182" s="195"/>
      <c r="AI182" s="163">
        <v>0</v>
      </c>
      <c r="AJ182" s="163">
        <v>0</v>
      </c>
      <c r="AK182" s="163">
        <v>0</v>
      </c>
      <c r="AL182" s="20"/>
      <c r="AM182" s="20"/>
      <c r="AN182" s="20"/>
      <c r="AO182" s="20"/>
      <c r="AP182" s="339">
        <v>-8</v>
      </c>
      <c r="AQ182" s="339"/>
      <c r="AR182" s="339">
        <f t="shared" si="104"/>
        <v>-8</v>
      </c>
      <c r="AS182" s="225"/>
      <c r="AT182" s="268">
        <v>8</v>
      </c>
      <c r="AU182" s="20" t="s">
        <v>556</v>
      </c>
      <c r="AV182" s="20"/>
      <c r="AW182" s="331">
        <v>0</v>
      </c>
      <c r="AX182" s="331">
        <v>0</v>
      </c>
      <c r="AY182" s="331">
        <f t="shared" si="129"/>
        <v>0</v>
      </c>
      <c r="AZ182" s="20"/>
      <c r="BA182" s="20"/>
      <c r="BB182" s="20"/>
      <c r="BC182" s="20"/>
      <c r="BD182" s="221" t="e">
        <f>-SUMIF(#REF!,'pôles &amp; actions'!$C182,#REF!)/1000</f>
        <v>#REF!</v>
      </c>
      <c r="BE182" s="221" t="e">
        <f>SUMIF(#REF!,'pôles &amp; actions'!$C182,#REF!)/1000</f>
        <v>#REF!</v>
      </c>
      <c r="BF182" s="221" t="e">
        <f t="shared" si="105"/>
        <v>#REF!</v>
      </c>
      <c r="BG182" s="221" t="e">
        <f t="shared" si="132"/>
        <v>#REF!</v>
      </c>
      <c r="BK182" s="345"/>
      <c r="BL182" s="345"/>
      <c r="BM182" s="345">
        <f t="shared" si="133"/>
        <v>0</v>
      </c>
      <c r="BN182" s="225"/>
    </row>
    <row r="183" spans="1:66" ht="15" customHeight="1" x14ac:dyDescent="0.25">
      <c r="A183" s="324">
        <v>171</v>
      </c>
      <c r="B183" s="385" t="s">
        <v>238</v>
      </c>
      <c r="C183" s="403" t="s">
        <v>380</v>
      </c>
      <c r="D183" s="37"/>
      <c r="E183" s="37"/>
      <c r="F183" s="37"/>
      <c r="G183" s="38"/>
      <c r="H183" s="39"/>
      <c r="I183" s="37"/>
      <c r="J183" s="37"/>
      <c r="K183" s="45"/>
      <c r="L183" s="38"/>
      <c r="M183" s="38"/>
      <c r="N183" s="37"/>
      <c r="O183" s="37"/>
      <c r="P183" s="45"/>
      <c r="Q183" s="39"/>
      <c r="R183" s="157"/>
      <c r="S183" s="157"/>
      <c r="T183" s="157"/>
      <c r="U183" s="37"/>
      <c r="V183" s="407">
        <v>-8.9499999999999996E-3</v>
      </c>
      <c r="W183" s="407">
        <v>0</v>
      </c>
      <c r="X183" s="407">
        <f t="shared" si="134"/>
        <v>-8.9499999999999996E-3</v>
      </c>
      <c r="Y183" s="46"/>
      <c r="Z183" s="132" t="s">
        <v>421</v>
      </c>
      <c r="AA183" s="39"/>
      <c r="AB183" s="248">
        <v>-12.8</v>
      </c>
      <c r="AC183" s="248"/>
      <c r="AD183" s="248">
        <f t="shared" si="126"/>
        <v>-12.8</v>
      </c>
      <c r="AE183" s="193"/>
      <c r="AF183" s="199"/>
      <c r="AG183" s="194"/>
      <c r="AH183" s="195"/>
      <c r="AI183" s="163">
        <v>0</v>
      </c>
      <c r="AJ183" s="163">
        <v>0</v>
      </c>
      <c r="AK183" s="163">
        <v>0</v>
      </c>
      <c r="AL183" s="20"/>
      <c r="AM183" s="20"/>
      <c r="AN183" s="20"/>
      <c r="AO183" s="20"/>
      <c r="AP183" s="339">
        <v>-9</v>
      </c>
      <c r="AQ183" s="339"/>
      <c r="AR183" s="339">
        <f t="shared" si="104"/>
        <v>-9</v>
      </c>
      <c r="AS183" s="225"/>
      <c r="AT183" s="268">
        <v>9</v>
      </c>
      <c r="AU183" s="20" t="s">
        <v>525</v>
      </c>
      <c r="AV183" s="20"/>
      <c r="AW183" s="331">
        <v>0</v>
      </c>
      <c r="AX183" s="331">
        <v>0</v>
      </c>
      <c r="AY183" s="331">
        <f t="shared" si="129"/>
        <v>0</v>
      </c>
      <c r="AZ183" s="20"/>
      <c r="BA183" s="20"/>
      <c r="BB183" s="20"/>
      <c r="BC183" s="20"/>
      <c r="BD183" s="221" t="e">
        <f>-SUMIF(#REF!,'pôles &amp; actions'!$C183,#REF!)/1000</f>
        <v>#REF!</v>
      </c>
      <c r="BE183" s="221" t="e">
        <f>SUMIF(#REF!,'pôles &amp; actions'!$C183,#REF!)/1000</f>
        <v>#REF!</v>
      </c>
      <c r="BF183" s="221" t="e">
        <f t="shared" si="105"/>
        <v>#REF!</v>
      </c>
      <c r="BG183" s="221" t="e">
        <f t="shared" si="132"/>
        <v>#REF!</v>
      </c>
      <c r="BK183" s="345"/>
      <c r="BL183" s="345"/>
      <c r="BM183" s="345">
        <f t="shared" si="133"/>
        <v>0</v>
      </c>
      <c r="BN183" s="225"/>
    </row>
    <row r="184" spans="1:66" ht="15" customHeight="1" x14ac:dyDescent="0.25">
      <c r="A184" s="324">
        <v>172</v>
      </c>
      <c r="B184" s="385" t="s">
        <v>239</v>
      </c>
      <c r="C184" s="403" t="s">
        <v>240</v>
      </c>
      <c r="D184" s="37"/>
      <c r="E184" s="37"/>
      <c r="F184" s="37"/>
      <c r="G184" s="38"/>
      <c r="H184" s="39"/>
      <c r="I184" s="37"/>
      <c r="J184" s="37"/>
      <c r="K184" s="37"/>
      <c r="L184" s="38"/>
      <c r="M184" s="38"/>
      <c r="N184" s="37"/>
      <c r="O184" s="37"/>
      <c r="P184" s="37"/>
      <c r="Q184" s="39"/>
      <c r="R184" s="157"/>
      <c r="S184" s="157"/>
      <c r="T184" s="157"/>
      <c r="U184" s="37"/>
      <c r="V184" s="407"/>
      <c r="W184" s="407"/>
      <c r="X184" s="407"/>
      <c r="Y184" s="46"/>
      <c r="Z184" s="46"/>
      <c r="AA184" s="39"/>
      <c r="AB184" s="248">
        <v>-1</v>
      </c>
      <c r="AC184" s="248"/>
      <c r="AD184" s="248">
        <f t="shared" si="126"/>
        <v>-1</v>
      </c>
      <c r="AE184" s="193"/>
      <c r="AF184" s="199"/>
      <c r="AG184" s="194"/>
      <c r="AH184" s="195"/>
      <c r="AI184" s="163">
        <v>0</v>
      </c>
      <c r="AJ184" s="163">
        <v>0</v>
      </c>
      <c r="AK184" s="163">
        <v>0</v>
      </c>
      <c r="AL184" s="20"/>
      <c r="AM184" s="20"/>
      <c r="AN184" s="20"/>
      <c r="AO184" s="20"/>
      <c r="AP184" s="339">
        <v>-1</v>
      </c>
      <c r="AQ184" s="339"/>
      <c r="AR184" s="339">
        <f t="shared" si="104"/>
        <v>-1</v>
      </c>
      <c r="AS184" s="225"/>
      <c r="AT184" s="20"/>
      <c r="AU184" s="20" t="s">
        <v>526</v>
      </c>
      <c r="AV184" s="20"/>
      <c r="AW184" s="331">
        <v>0</v>
      </c>
      <c r="AX184" s="331">
        <v>0</v>
      </c>
      <c r="AY184" s="331">
        <f t="shared" si="129"/>
        <v>0</v>
      </c>
      <c r="AZ184" s="20"/>
      <c r="BA184" s="20"/>
      <c r="BB184" s="20"/>
      <c r="BC184" s="20"/>
      <c r="BD184" s="221" t="e">
        <f>-SUMIF(#REF!,'pôles &amp; actions'!$C184,#REF!)/1000</f>
        <v>#REF!</v>
      </c>
      <c r="BE184" s="221" t="e">
        <f>SUMIF(#REF!,'pôles &amp; actions'!$C184,#REF!)/1000</f>
        <v>#REF!</v>
      </c>
      <c r="BF184" s="221" t="e">
        <f t="shared" si="105"/>
        <v>#REF!</v>
      </c>
      <c r="BG184" s="221" t="e">
        <f t="shared" si="132"/>
        <v>#REF!</v>
      </c>
      <c r="BK184" s="345">
        <v>-1</v>
      </c>
      <c r="BL184" s="345"/>
      <c r="BM184" s="345">
        <f t="shared" si="133"/>
        <v>-1</v>
      </c>
      <c r="BN184" s="225"/>
    </row>
    <row r="185" spans="1:66" ht="15" customHeight="1" x14ac:dyDescent="0.25">
      <c r="A185" s="324">
        <v>173</v>
      </c>
      <c r="B185" s="385" t="s">
        <v>241</v>
      </c>
      <c r="C185" s="386" t="s">
        <v>242</v>
      </c>
      <c r="D185" s="37">
        <v>-5</v>
      </c>
      <c r="E185" s="37">
        <v>0</v>
      </c>
      <c r="F185" s="37">
        <f t="shared" si="122"/>
        <v>-5</v>
      </c>
      <c r="G185" s="38"/>
      <c r="H185" s="39"/>
      <c r="I185" s="37">
        <v>0</v>
      </c>
      <c r="J185" s="37">
        <v>0</v>
      </c>
      <c r="K185" s="37">
        <f t="shared" si="123"/>
        <v>0</v>
      </c>
      <c r="L185" s="38"/>
      <c r="M185" s="38"/>
      <c r="N185" s="37" t="e">
        <f>-SUMIF(#REF!,$C185,#REF!)/1000</f>
        <v>#REF!</v>
      </c>
      <c r="O185" s="37" t="e">
        <f>SUMIF(#REF!,$C185,#REF!)/1000</f>
        <v>#REF!</v>
      </c>
      <c r="P185" s="37" t="e">
        <f t="shared" si="124"/>
        <v>#REF!</v>
      </c>
      <c r="Q185" s="39"/>
      <c r="R185" s="157">
        <v>0</v>
      </c>
      <c r="S185" s="157">
        <v>0</v>
      </c>
      <c r="T185" s="157">
        <f t="shared" si="125"/>
        <v>0</v>
      </c>
      <c r="U185" s="37"/>
      <c r="V185" s="407">
        <v>-0.79410000000000003</v>
      </c>
      <c r="W185" s="407">
        <v>0.79410000000000003</v>
      </c>
      <c r="X185" s="407">
        <f t="shared" si="134"/>
        <v>0</v>
      </c>
      <c r="Y185" s="46"/>
      <c r="Z185" s="46"/>
      <c r="AA185" s="39"/>
      <c r="AB185" s="248">
        <v>0</v>
      </c>
      <c r="AC185" s="248">
        <v>0</v>
      </c>
      <c r="AD185" s="248">
        <f t="shared" si="126"/>
        <v>0</v>
      </c>
      <c r="AE185" s="193"/>
      <c r="AF185" s="199"/>
      <c r="AG185" s="194"/>
      <c r="AH185" s="195"/>
      <c r="AI185" s="163">
        <v>-2.45025</v>
      </c>
      <c r="AJ185" s="163">
        <v>1.1932499999999999</v>
      </c>
      <c r="AK185" s="163">
        <v>-1.2570000000000001</v>
      </c>
      <c r="AL185" s="20"/>
      <c r="AM185" s="20"/>
      <c r="AN185" s="20"/>
      <c r="AO185" s="20"/>
      <c r="AP185" s="339">
        <v>-1.3</v>
      </c>
      <c r="AQ185" s="339"/>
      <c r="AR185" s="339">
        <f t="shared" si="104"/>
        <v>-1.3</v>
      </c>
      <c r="AS185" s="225"/>
      <c r="AT185" s="20"/>
      <c r="AU185" s="20" t="s">
        <v>527</v>
      </c>
      <c r="AV185" s="20"/>
      <c r="AW185" s="331">
        <v>-2.0448400000000002</v>
      </c>
      <c r="AX185" s="331">
        <v>0.84484000000000004</v>
      </c>
      <c r="AY185" s="331">
        <f t="shared" si="129"/>
        <v>-1.2000000000000002</v>
      </c>
      <c r="AZ185" s="20"/>
      <c r="BA185" s="20"/>
      <c r="BB185" s="20"/>
      <c r="BC185" s="20"/>
      <c r="BD185" s="221" t="e">
        <f>-SUMIF(#REF!,'pôles &amp; actions'!$C185,#REF!)/1000</f>
        <v>#REF!</v>
      </c>
      <c r="BE185" s="221" t="e">
        <f>SUMIF(#REF!,'pôles &amp; actions'!$C185,#REF!)/1000</f>
        <v>#REF!</v>
      </c>
      <c r="BF185" s="221" t="e">
        <f t="shared" si="105"/>
        <v>#REF!</v>
      </c>
      <c r="BG185" s="221" t="e">
        <f t="shared" si="132"/>
        <v>#REF!</v>
      </c>
      <c r="BK185" s="345">
        <v>-3.5630000000000002</v>
      </c>
      <c r="BL185" s="345">
        <v>3.5630000000000002</v>
      </c>
      <c r="BM185" s="345">
        <f t="shared" si="133"/>
        <v>0</v>
      </c>
      <c r="BN185" s="225"/>
    </row>
    <row r="186" spans="1:66" ht="15" customHeight="1" x14ac:dyDescent="0.25">
      <c r="A186" s="324">
        <v>174</v>
      </c>
      <c r="B186" s="385" t="s">
        <v>243</v>
      </c>
      <c r="C186" s="386" t="s">
        <v>244</v>
      </c>
      <c r="D186" s="37">
        <v>-7</v>
      </c>
      <c r="E186" s="37"/>
      <c r="F186" s="37">
        <f t="shared" si="122"/>
        <v>-7</v>
      </c>
      <c r="G186" s="38"/>
      <c r="H186" s="39"/>
      <c r="I186" s="37">
        <v>0</v>
      </c>
      <c r="J186" s="37">
        <v>1.6</v>
      </c>
      <c r="K186" s="37">
        <f t="shared" si="123"/>
        <v>1.6</v>
      </c>
      <c r="L186" s="38"/>
      <c r="M186" s="38"/>
      <c r="N186" s="37" t="e">
        <f>-SUMIF(#REF!,$C186,#REF!)/1000</f>
        <v>#REF!</v>
      </c>
      <c r="O186" s="37" t="e">
        <f>SUMIF(#REF!,$C186,#REF!)/1000</f>
        <v>#REF!</v>
      </c>
      <c r="P186" s="37" t="e">
        <f t="shared" si="124"/>
        <v>#REF!</v>
      </c>
      <c r="Q186" s="39"/>
      <c r="R186" s="157">
        <v>0</v>
      </c>
      <c r="S186" s="157">
        <v>2</v>
      </c>
      <c r="T186" s="157">
        <f t="shared" si="125"/>
        <v>2</v>
      </c>
      <c r="U186" s="37"/>
      <c r="V186" s="407">
        <v>-0.60899999999999999</v>
      </c>
      <c r="W186" s="407">
        <v>8.4000000000000005E-2</v>
      </c>
      <c r="X186" s="407">
        <f t="shared" si="131"/>
        <v>-0.52500000000000002</v>
      </c>
      <c r="Y186" s="46"/>
      <c r="Z186" s="46"/>
      <c r="AA186" s="39"/>
      <c r="AB186" s="248">
        <v>0</v>
      </c>
      <c r="AC186" s="248">
        <v>0</v>
      </c>
      <c r="AD186" s="248">
        <f t="shared" si="126"/>
        <v>0</v>
      </c>
      <c r="AE186" s="193"/>
      <c r="AF186" s="199"/>
      <c r="AG186" s="194"/>
      <c r="AH186" s="195"/>
      <c r="AI186" s="163">
        <v>0</v>
      </c>
      <c r="AJ186" s="163">
        <v>0.97199999999999998</v>
      </c>
      <c r="AK186" s="163">
        <v>0.97199999999999998</v>
      </c>
      <c r="AL186" s="20"/>
      <c r="AM186" s="20"/>
      <c r="AN186" s="20"/>
      <c r="AO186" s="20"/>
      <c r="AP186" s="339"/>
      <c r="AQ186" s="339">
        <v>1</v>
      </c>
      <c r="AR186" s="339">
        <f t="shared" si="104"/>
        <v>1</v>
      </c>
      <c r="AS186" s="225"/>
      <c r="AT186" s="20"/>
      <c r="AU186" s="20"/>
      <c r="AV186" s="20"/>
      <c r="AW186" s="331">
        <v>0</v>
      </c>
      <c r="AX186" s="331">
        <v>1.4159999999999999</v>
      </c>
      <c r="AY186" s="331">
        <f t="shared" si="129"/>
        <v>1.4159999999999999</v>
      </c>
      <c r="AZ186" s="20"/>
      <c r="BA186" s="20"/>
      <c r="BB186" s="20"/>
      <c r="BC186" s="20"/>
      <c r="BD186" s="221" t="e">
        <f>-SUMIF(#REF!,'pôles &amp; actions'!$C186,#REF!)/1000</f>
        <v>#REF!</v>
      </c>
      <c r="BE186" s="221" t="e">
        <f>SUMIF(#REF!,'pôles &amp; actions'!$C186,#REF!)/1000</f>
        <v>#REF!</v>
      </c>
      <c r="BF186" s="221" t="e">
        <f t="shared" si="105"/>
        <v>#REF!</v>
      </c>
      <c r="BG186" s="221" t="e">
        <f t="shared" si="132"/>
        <v>#REF!</v>
      </c>
      <c r="BK186" s="345"/>
      <c r="BL186" s="345">
        <v>1.4</v>
      </c>
      <c r="BM186" s="345">
        <f t="shared" si="133"/>
        <v>1.4</v>
      </c>
      <c r="BN186" s="225"/>
    </row>
    <row r="187" spans="1:66" ht="15" customHeight="1" x14ac:dyDescent="0.25">
      <c r="A187" s="324">
        <v>175</v>
      </c>
      <c r="B187" s="385" t="s">
        <v>245</v>
      </c>
      <c r="C187" s="386" t="s">
        <v>246</v>
      </c>
      <c r="D187" s="37">
        <v>-3</v>
      </c>
      <c r="E187" s="37"/>
      <c r="F187" s="37">
        <f t="shared" si="122"/>
        <v>-3</v>
      </c>
      <c r="G187" s="38"/>
      <c r="H187" s="39"/>
      <c r="I187" s="37">
        <v>0</v>
      </c>
      <c r="J187" s="37">
        <v>0</v>
      </c>
      <c r="K187" s="37">
        <f t="shared" si="123"/>
        <v>0</v>
      </c>
      <c r="L187" s="38"/>
      <c r="M187" s="38"/>
      <c r="N187" s="37" t="e">
        <f>-SUMIF(#REF!,$C187,#REF!)/1000</f>
        <v>#REF!</v>
      </c>
      <c r="O187" s="37" t="e">
        <f>SUMIF(#REF!,$C187,#REF!)/1000</f>
        <v>#REF!</v>
      </c>
      <c r="P187" s="37" t="e">
        <f t="shared" si="124"/>
        <v>#REF!</v>
      </c>
      <c r="Q187" s="39"/>
      <c r="R187" s="157">
        <v>-1</v>
      </c>
      <c r="S187" s="157">
        <v>0</v>
      </c>
      <c r="T187" s="157">
        <f t="shared" si="125"/>
        <v>-1</v>
      </c>
      <c r="U187" s="37"/>
      <c r="V187" s="407">
        <v>0</v>
      </c>
      <c r="W187" s="407">
        <v>0</v>
      </c>
      <c r="X187" s="407">
        <f t="shared" si="131"/>
        <v>0</v>
      </c>
      <c r="Y187" s="46"/>
      <c r="Z187" s="46"/>
      <c r="AA187" s="39"/>
      <c r="AB187" s="248">
        <v>-0.3</v>
      </c>
      <c r="AC187" s="248">
        <v>0</v>
      </c>
      <c r="AD187" s="248">
        <f t="shared" si="126"/>
        <v>-0.3</v>
      </c>
      <c r="AE187" s="193"/>
      <c r="AF187" s="199"/>
      <c r="AG187" s="194"/>
      <c r="AH187" s="195"/>
      <c r="AI187" s="163">
        <v>0</v>
      </c>
      <c r="AJ187" s="163">
        <v>0</v>
      </c>
      <c r="AK187" s="163">
        <v>0</v>
      </c>
      <c r="AL187" s="20"/>
      <c r="AM187" s="20"/>
      <c r="AN187" s="20"/>
      <c r="AO187" s="20"/>
      <c r="AP187" s="339"/>
      <c r="AQ187" s="339"/>
      <c r="AR187" s="339">
        <f t="shared" si="104"/>
        <v>0</v>
      </c>
      <c r="AS187" s="225"/>
      <c r="AT187" s="20"/>
      <c r="AU187" s="20"/>
      <c r="AV187" s="20"/>
      <c r="AW187" s="331">
        <v>0</v>
      </c>
      <c r="AX187" s="331">
        <v>0</v>
      </c>
      <c r="AY187" s="331">
        <f t="shared" si="129"/>
        <v>0</v>
      </c>
      <c r="AZ187" s="20"/>
      <c r="BA187" s="20"/>
      <c r="BB187" s="20"/>
      <c r="BC187" s="20"/>
      <c r="BD187" s="221" t="e">
        <f>-SUMIF(#REF!,'pôles &amp; actions'!$C187,#REF!)/1000</f>
        <v>#REF!</v>
      </c>
      <c r="BE187" s="221" t="e">
        <f>SUMIF(#REF!,'pôles &amp; actions'!$C187,#REF!)/1000</f>
        <v>#REF!</v>
      </c>
      <c r="BF187" s="221" t="e">
        <f t="shared" si="105"/>
        <v>#REF!</v>
      </c>
      <c r="BG187" s="221" t="e">
        <f t="shared" si="132"/>
        <v>#REF!</v>
      </c>
      <c r="BK187" s="345"/>
      <c r="BL187" s="345"/>
      <c r="BM187" s="345">
        <f t="shared" si="133"/>
        <v>0</v>
      </c>
      <c r="BN187" s="225"/>
    </row>
    <row r="188" spans="1:66" ht="15" customHeight="1" x14ac:dyDescent="0.25">
      <c r="A188" s="324">
        <v>176</v>
      </c>
      <c r="B188" s="385" t="s">
        <v>247</v>
      </c>
      <c r="C188" s="386" t="s">
        <v>248</v>
      </c>
      <c r="D188" s="37">
        <v>-2</v>
      </c>
      <c r="E188" s="37"/>
      <c r="F188" s="37">
        <f t="shared" si="122"/>
        <v>-2</v>
      </c>
      <c r="G188" s="38"/>
      <c r="H188" s="39"/>
      <c r="I188" s="37">
        <v>-0.8</v>
      </c>
      <c r="J188" s="37">
        <v>0.4</v>
      </c>
      <c r="K188" s="37">
        <f t="shared" si="123"/>
        <v>-0.4</v>
      </c>
      <c r="L188" s="38"/>
      <c r="M188" s="38"/>
      <c r="N188" s="37" t="e">
        <f>-SUMIF(#REF!,$C188,#REF!)/1000</f>
        <v>#REF!</v>
      </c>
      <c r="O188" s="37" t="e">
        <f>SUMIF(#REF!,$C188,#REF!)/1000</f>
        <v>#REF!</v>
      </c>
      <c r="P188" s="37" t="e">
        <f t="shared" si="124"/>
        <v>#REF!</v>
      </c>
      <c r="Q188" s="39"/>
      <c r="R188" s="157">
        <v>-2</v>
      </c>
      <c r="S188" s="157">
        <v>0</v>
      </c>
      <c r="T188" s="157">
        <f t="shared" si="125"/>
        <v>-2</v>
      </c>
      <c r="U188" s="37"/>
      <c r="V188" s="407">
        <v>-0.45363999999999999</v>
      </c>
      <c r="W188" s="407">
        <v>0</v>
      </c>
      <c r="X188" s="407">
        <f t="shared" si="131"/>
        <v>-0.45363999999999999</v>
      </c>
      <c r="Y188" s="46"/>
      <c r="Z188" s="46"/>
      <c r="AA188" s="39"/>
      <c r="AB188" s="248">
        <v>-1</v>
      </c>
      <c r="AC188" s="248">
        <v>0</v>
      </c>
      <c r="AD188" s="248">
        <f t="shared" si="126"/>
        <v>-1</v>
      </c>
      <c r="AE188" s="193"/>
      <c r="AF188" s="199"/>
      <c r="AG188" s="194"/>
      <c r="AH188" s="195"/>
      <c r="AI188" s="163">
        <v>-0.95310000000000006</v>
      </c>
      <c r="AJ188" s="163">
        <v>0</v>
      </c>
      <c r="AK188" s="163">
        <v>-0.95310000000000006</v>
      </c>
      <c r="AL188" s="20"/>
      <c r="AM188" s="20"/>
      <c r="AN188" s="20"/>
      <c r="AO188" s="20"/>
      <c r="AP188" s="339">
        <v>-1</v>
      </c>
      <c r="AQ188" s="339"/>
      <c r="AR188" s="339">
        <f t="shared" si="104"/>
        <v>-1</v>
      </c>
      <c r="AS188" s="225"/>
      <c r="AT188" s="20"/>
      <c r="AU188" s="20"/>
      <c r="AV188" s="20"/>
      <c r="AW188" s="331">
        <v>0</v>
      </c>
      <c r="AX188" s="331">
        <v>0.5</v>
      </c>
      <c r="AY188" s="331">
        <f t="shared" si="129"/>
        <v>0.5</v>
      </c>
      <c r="AZ188" s="20"/>
      <c r="BA188" s="20"/>
      <c r="BB188" s="20"/>
      <c r="BC188" s="20"/>
      <c r="BD188" s="221" t="e">
        <f>-SUMIF(#REF!,'pôles &amp; actions'!$C188,#REF!)/1000</f>
        <v>#REF!</v>
      </c>
      <c r="BE188" s="221" t="e">
        <f>SUMIF(#REF!,'pôles &amp; actions'!$C188,#REF!)/1000</f>
        <v>#REF!</v>
      </c>
      <c r="BF188" s="221" t="e">
        <f t="shared" si="105"/>
        <v>#REF!</v>
      </c>
      <c r="BG188" s="221" t="e">
        <f t="shared" si="132"/>
        <v>#REF!</v>
      </c>
      <c r="BK188" s="345">
        <v>-2</v>
      </c>
      <c r="BL188" s="345"/>
      <c r="BM188" s="345">
        <f t="shared" si="133"/>
        <v>-2</v>
      </c>
      <c r="BN188" s="225"/>
    </row>
    <row r="189" spans="1:66" ht="15" customHeight="1" x14ac:dyDescent="0.25">
      <c r="A189" s="324">
        <v>177</v>
      </c>
      <c r="B189" s="392" t="s">
        <v>33</v>
      </c>
      <c r="C189" s="393"/>
      <c r="D189" s="41">
        <f>SUM(D178:D188)</f>
        <v>-17</v>
      </c>
      <c r="E189" s="41">
        <f>SUM(E178:E188)</f>
        <v>0</v>
      </c>
      <c r="F189" s="41">
        <f t="shared" si="122"/>
        <v>-17</v>
      </c>
      <c r="G189" s="38"/>
      <c r="H189" s="39"/>
      <c r="I189" s="41">
        <f>SUM(I178:I188)</f>
        <v>-1.3</v>
      </c>
      <c r="J189" s="41">
        <f>SUM(J178:J188)</f>
        <v>2.1</v>
      </c>
      <c r="K189" s="41">
        <f>SUM(I189:J189)</f>
        <v>0.8</v>
      </c>
      <c r="L189" s="38"/>
      <c r="M189" s="38"/>
      <c r="N189" s="41" t="e">
        <f>SUM(N178:N188)</f>
        <v>#REF!</v>
      </c>
      <c r="O189" s="41" t="e">
        <f>SUM(O178:O188)</f>
        <v>#REF!</v>
      </c>
      <c r="P189" s="41" t="e">
        <f>SUM(P178:P188)</f>
        <v>#REF!</v>
      </c>
      <c r="Q189" s="39"/>
      <c r="R189" s="158">
        <f>SUM(R178:R188)</f>
        <v>-5.2</v>
      </c>
      <c r="S189" s="158">
        <f>SUM(S178:S188)</f>
        <v>2</v>
      </c>
      <c r="T189" s="158">
        <f>SUM(T178:T188)</f>
        <v>-3.2</v>
      </c>
      <c r="U189" s="41"/>
      <c r="V189" s="408">
        <f>SUM(V178:V188)</f>
        <v>-11.402190000000001</v>
      </c>
      <c r="W189" s="408">
        <f>SUM(W178:W188)</f>
        <v>0.87809999999999999</v>
      </c>
      <c r="X189" s="408">
        <f>SUM(X178:X188)</f>
        <v>-10.524090000000001</v>
      </c>
      <c r="Y189" s="80"/>
      <c r="Z189" s="80">
        <f t="shared" ref="Z189" si="135">SUM(Z178:Z188)</f>
        <v>0</v>
      </c>
      <c r="AA189" s="39"/>
      <c r="AB189" s="249">
        <f>SUM(AB178:AB188)</f>
        <v>-47.599999999999994</v>
      </c>
      <c r="AC189" s="249">
        <f>SUM(AC178:AC188)</f>
        <v>0</v>
      </c>
      <c r="AD189" s="249">
        <f>SUM(AD178:AD188)</f>
        <v>-47.599999999999994</v>
      </c>
      <c r="AE189" s="41"/>
      <c r="AF189" s="80"/>
      <c r="AG189" s="194"/>
      <c r="AH189" s="195"/>
      <c r="AI189" s="285">
        <f>SUM(AI178:AI188)</f>
        <v>-5.9415000000000004</v>
      </c>
      <c r="AJ189" s="285">
        <f>SUM(AJ178:AJ188)</f>
        <v>2.22525</v>
      </c>
      <c r="AK189" s="285">
        <f>AI189+AJ189</f>
        <v>-3.7162500000000005</v>
      </c>
      <c r="AL189" s="81"/>
      <c r="AM189" s="81"/>
      <c r="AN189" s="81"/>
      <c r="AO189" s="81"/>
      <c r="AP189" s="340">
        <f>SUM(AP178:AP188)</f>
        <v>-42.699999999999996</v>
      </c>
      <c r="AQ189" s="340">
        <f>SUM(AQ178:AQ188)</f>
        <v>1</v>
      </c>
      <c r="AR189" s="340">
        <f t="shared" si="104"/>
        <v>-41.699999999999996</v>
      </c>
      <c r="AS189" s="226"/>
      <c r="AT189" s="81"/>
      <c r="AU189" s="81"/>
      <c r="AV189" s="81"/>
      <c r="AW189" s="430">
        <f>SUM(AW178:AW188)</f>
        <v>-6.5945599999999995</v>
      </c>
      <c r="AX189" s="430">
        <f>SUM(AX178:AX188)</f>
        <v>3.6902400000000002</v>
      </c>
      <c r="AY189" s="430">
        <f t="shared" si="129"/>
        <v>-2.9043199999999993</v>
      </c>
      <c r="AZ189" s="81"/>
      <c r="BA189" s="81"/>
      <c r="BB189" s="81"/>
      <c r="BC189" s="81"/>
      <c r="BD189" s="227" t="e">
        <f>SUM(BD178:BD188)</f>
        <v>#REF!</v>
      </c>
      <c r="BE189" s="227" t="e">
        <f>SUM(BE178:BE188)</f>
        <v>#REF!</v>
      </c>
      <c r="BF189" s="227" t="e">
        <f t="shared" si="105"/>
        <v>#REF!</v>
      </c>
      <c r="BG189" s="221" t="e">
        <f t="shared" si="132"/>
        <v>#REF!</v>
      </c>
      <c r="BK189" s="346">
        <f>SUM(BK178:BK188)</f>
        <v>-18.562999999999999</v>
      </c>
      <c r="BL189" s="346">
        <f>SUM(BL178:BL188)</f>
        <v>4.9630000000000001</v>
      </c>
      <c r="BM189" s="346">
        <f t="shared" si="133"/>
        <v>-13.599999999999998</v>
      </c>
      <c r="BN189" s="226"/>
    </row>
    <row r="190" spans="1:66" ht="15" customHeight="1" outlineLevel="1" x14ac:dyDescent="0.25">
      <c r="A190" s="324">
        <v>178</v>
      </c>
      <c r="B190" s="397" t="s">
        <v>567</v>
      </c>
      <c r="C190" s="398" t="s">
        <v>562</v>
      </c>
      <c r="D190" s="600"/>
      <c r="E190" s="600"/>
      <c r="F190" s="600"/>
      <c r="G190" s="38"/>
      <c r="H190" s="39"/>
      <c r="I190" s="37"/>
      <c r="J190" s="37"/>
      <c r="K190" s="37"/>
      <c r="L190" s="38"/>
      <c r="M190" s="38"/>
      <c r="N190" s="37"/>
      <c r="O190" s="37"/>
      <c r="P190" s="37"/>
      <c r="Q190" s="39"/>
      <c r="R190" s="157"/>
      <c r="S190" s="157"/>
      <c r="T190" s="157"/>
      <c r="U190" s="37"/>
      <c r="V190" s="407">
        <v>0</v>
      </c>
      <c r="W190" s="407">
        <v>0</v>
      </c>
      <c r="X190" s="407">
        <f t="shared" ref="X190:X191" si="136">SUM(V190:W190)</f>
        <v>0</v>
      </c>
      <c r="Y190" s="46"/>
      <c r="Z190" s="46"/>
      <c r="AA190" s="39"/>
      <c r="AB190" s="248"/>
      <c r="AC190" s="248"/>
      <c r="AD190" s="248"/>
      <c r="AE190" s="203"/>
      <c r="AF190" s="199"/>
      <c r="AG190" s="194"/>
      <c r="AH190" s="195"/>
      <c r="AI190" s="163">
        <v>0</v>
      </c>
      <c r="AJ190" s="163">
        <v>0</v>
      </c>
      <c r="AK190" s="163">
        <v>0</v>
      </c>
      <c r="AL190" s="20"/>
      <c r="AM190" s="20"/>
      <c r="AN190" s="20"/>
      <c r="AO190" s="20"/>
      <c r="AP190" s="339">
        <f>-9.1-2</f>
        <v>-11.1</v>
      </c>
      <c r="AQ190" s="339"/>
      <c r="AR190" s="339">
        <f t="shared" si="104"/>
        <v>-11.1</v>
      </c>
      <c r="AS190" s="226"/>
      <c r="AT190" s="81"/>
      <c r="AU190" s="81"/>
      <c r="AV190" s="81"/>
      <c r="AW190" s="331">
        <v>0</v>
      </c>
      <c r="AX190" s="331">
        <v>5</v>
      </c>
      <c r="AY190" s="331">
        <f t="shared" si="129"/>
        <v>5</v>
      </c>
      <c r="AZ190" s="81"/>
      <c r="BA190" s="81"/>
      <c r="BB190" s="81"/>
      <c r="BC190" s="81"/>
      <c r="BD190" s="221" t="e">
        <f>-SUMIF(#REF!,'pôles &amp; actions'!$C190,#REF!)/1000</f>
        <v>#REF!</v>
      </c>
      <c r="BE190" s="221" t="e">
        <f>SUMIF(#REF!,'pôles &amp; actions'!$C190,#REF!)/1000</f>
        <v>#REF!</v>
      </c>
      <c r="BF190" s="221" t="e">
        <f t="shared" si="105"/>
        <v>#REF!</v>
      </c>
      <c r="BG190" s="221" t="e">
        <f t="shared" si="132"/>
        <v>#REF!</v>
      </c>
      <c r="BK190" s="345"/>
      <c r="BL190" s="345"/>
      <c r="BM190" s="345">
        <f t="shared" si="133"/>
        <v>0</v>
      </c>
      <c r="BN190" s="226"/>
    </row>
    <row r="191" spans="1:66" ht="15" customHeight="1" outlineLevel="1" x14ac:dyDescent="0.25">
      <c r="A191" s="324">
        <v>179</v>
      </c>
      <c r="B191" s="385" t="s">
        <v>249</v>
      </c>
      <c r="C191" s="386" t="s">
        <v>250</v>
      </c>
      <c r="D191" s="37"/>
      <c r="E191" s="37"/>
      <c r="F191" s="37">
        <f>SUM(D191:E191)</f>
        <v>0</v>
      </c>
      <c r="G191" s="38"/>
      <c r="H191" s="39"/>
      <c r="I191" s="37">
        <v>0</v>
      </c>
      <c r="J191" s="37">
        <v>0</v>
      </c>
      <c r="K191" s="37">
        <f t="shared" ref="K191:K194" si="137">SUM(I191:J191)</f>
        <v>0</v>
      </c>
      <c r="L191" s="38"/>
      <c r="M191" s="38"/>
      <c r="N191" s="37" t="e">
        <f>-SUMIF(#REF!,$C191,#REF!)/1000</f>
        <v>#REF!</v>
      </c>
      <c r="O191" s="37" t="e">
        <f>SUMIF(#REF!,$C191,#REF!)/1000</f>
        <v>#REF!</v>
      </c>
      <c r="P191" s="37" t="e">
        <f>N191+O191</f>
        <v>#REF!</v>
      </c>
      <c r="Q191" s="39"/>
      <c r="R191" s="157">
        <v>0</v>
      </c>
      <c r="S191" s="157">
        <v>0</v>
      </c>
      <c r="T191" s="157">
        <f>R191+S191</f>
        <v>0</v>
      </c>
      <c r="U191" s="37"/>
      <c r="V191" s="407">
        <v>0</v>
      </c>
      <c r="W191" s="407">
        <v>0</v>
      </c>
      <c r="X191" s="407">
        <f t="shared" si="136"/>
        <v>0</v>
      </c>
      <c r="Y191" s="46"/>
      <c r="Z191" s="46"/>
      <c r="AA191" s="39"/>
      <c r="AB191" s="248">
        <v>0</v>
      </c>
      <c r="AC191" s="248">
        <v>0</v>
      </c>
      <c r="AD191" s="248">
        <f>AB191+AC191</f>
        <v>0</v>
      </c>
      <c r="AE191" s="193"/>
      <c r="AF191" s="199"/>
      <c r="AG191" s="194"/>
      <c r="AH191" s="195"/>
      <c r="AI191" s="163">
        <v>0</v>
      </c>
      <c r="AJ191" s="163">
        <v>0</v>
      </c>
      <c r="AK191" s="163">
        <v>0</v>
      </c>
      <c r="AL191" s="20"/>
      <c r="AM191" s="20"/>
      <c r="AN191" s="20"/>
      <c r="AO191" s="20"/>
      <c r="AP191" s="339"/>
      <c r="AQ191" s="339"/>
      <c r="AR191" s="339">
        <f t="shared" si="104"/>
        <v>0</v>
      </c>
      <c r="AS191" s="226"/>
      <c r="AT191" s="81"/>
      <c r="AU191" s="81"/>
      <c r="AV191" s="81"/>
      <c r="AW191" s="331">
        <v>0</v>
      </c>
      <c r="AX191" s="331">
        <v>0</v>
      </c>
      <c r="AY191" s="331">
        <f t="shared" si="129"/>
        <v>0</v>
      </c>
      <c r="AZ191" s="81"/>
      <c r="BA191" s="81"/>
      <c r="BB191" s="81"/>
      <c r="BC191" s="81"/>
      <c r="BD191" s="221" t="e">
        <f>-SUMIF(#REF!,'pôles &amp; actions'!$C191,#REF!)/1000</f>
        <v>#REF!</v>
      </c>
      <c r="BE191" s="221" t="e">
        <f>SUMIF(#REF!,'pôles &amp; actions'!$C191,#REF!)/1000</f>
        <v>#REF!</v>
      </c>
      <c r="BF191" s="221" t="e">
        <f t="shared" si="105"/>
        <v>#REF!</v>
      </c>
      <c r="BG191" s="221" t="e">
        <f t="shared" si="132"/>
        <v>#REF!</v>
      </c>
      <c r="BK191" s="345"/>
      <c r="BL191" s="345"/>
      <c r="BM191" s="345">
        <f t="shared" si="133"/>
        <v>0</v>
      </c>
      <c r="BN191" s="226"/>
    </row>
    <row r="192" spans="1:66" ht="15" customHeight="1" x14ac:dyDescent="0.25">
      <c r="A192" s="324">
        <v>180</v>
      </c>
      <c r="B192" s="385" t="s">
        <v>251</v>
      </c>
      <c r="C192" s="386" t="s">
        <v>252</v>
      </c>
      <c r="D192" s="37"/>
      <c r="E192" s="37"/>
      <c r="F192" s="37"/>
      <c r="G192" s="38"/>
      <c r="H192" s="39"/>
      <c r="I192" s="37">
        <v>-3</v>
      </c>
      <c r="J192" s="37">
        <v>0</v>
      </c>
      <c r="K192" s="37">
        <f t="shared" si="137"/>
        <v>-3</v>
      </c>
      <c r="L192" s="38"/>
      <c r="M192" s="38"/>
      <c r="N192" s="37" t="e">
        <f>-SUMIF(#REF!,$C192,#REF!)/1000</f>
        <v>#REF!</v>
      </c>
      <c r="O192" s="37" t="e">
        <f>SUMIF(#REF!,$C192,#REF!)/1000</f>
        <v>#REF!</v>
      </c>
      <c r="P192" s="37" t="e">
        <f>N192+O192</f>
        <v>#REF!</v>
      </c>
      <c r="Q192" s="39"/>
      <c r="R192" s="157">
        <v>0</v>
      </c>
      <c r="S192" s="157">
        <v>0</v>
      </c>
      <c r="T192" s="157">
        <f>R192+S192</f>
        <v>0</v>
      </c>
      <c r="U192" s="37"/>
      <c r="V192" s="407">
        <v>0</v>
      </c>
      <c r="W192" s="407">
        <v>0</v>
      </c>
      <c r="X192" s="407">
        <f>SUM(V192:W192)</f>
        <v>0</v>
      </c>
      <c r="Y192" s="46"/>
      <c r="Z192" s="46"/>
      <c r="AA192" s="39"/>
      <c r="AB192" s="248">
        <v>0</v>
      </c>
      <c r="AC192" s="248">
        <v>0</v>
      </c>
      <c r="AD192" s="248">
        <f>AB192+AC192</f>
        <v>0</v>
      </c>
      <c r="AE192" s="193"/>
      <c r="AF192" s="199"/>
      <c r="AG192" s="194"/>
      <c r="AH192" s="195"/>
      <c r="AI192" s="163">
        <v>0</v>
      </c>
      <c r="AJ192" s="163">
        <v>0</v>
      </c>
      <c r="AK192" s="163">
        <v>0</v>
      </c>
      <c r="AL192" s="20"/>
      <c r="AM192" s="20"/>
      <c r="AN192" s="20"/>
      <c r="AO192" s="20"/>
      <c r="AP192" s="339"/>
      <c r="AQ192" s="339"/>
      <c r="AR192" s="339">
        <f t="shared" si="104"/>
        <v>0</v>
      </c>
      <c r="AS192" s="226"/>
      <c r="AT192" s="81"/>
      <c r="AU192" s="81"/>
      <c r="AV192" s="81"/>
      <c r="AW192" s="331">
        <v>0</v>
      </c>
      <c r="AX192" s="331">
        <v>0</v>
      </c>
      <c r="AY192" s="331">
        <f t="shared" si="129"/>
        <v>0</v>
      </c>
      <c r="AZ192" s="81"/>
      <c r="BA192" s="81"/>
      <c r="BB192" s="81"/>
      <c r="BC192" s="81"/>
      <c r="BD192" s="221" t="e">
        <f>-SUMIF(#REF!,'pôles &amp; actions'!$C192,#REF!)/1000</f>
        <v>#REF!</v>
      </c>
      <c r="BE192" s="221" t="e">
        <f>SUMIF(#REF!,'pôles &amp; actions'!$C192,#REF!)/1000</f>
        <v>#REF!</v>
      </c>
      <c r="BF192" s="221" t="e">
        <f t="shared" si="105"/>
        <v>#REF!</v>
      </c>
      <c r="BG192" s="221" t="e">
        <f t="shared" si="132"/>
        <v>#REF!</v>
      </c>
      <c r="BK192" s="345"/>
      <c r="BL192" s="345"/>
      <c r="BM192" s="345">
        <f t="shared" si="133"/>
        <v>0</v>
      </c>
      <c r="BN192" s="226"/>
    </row>
    <row r="193" spans="1:66" ht="15" customHeight="1" x14ac:dyDescent="0.25">
      <c r="A193" s="324">
        <v>181</v>
      </c>
      <c r="B193" s="385" t="s">
        <v>253</v>
      </c>
      <c r="C193" s="386" t="s">
        <v>254</v>
      </c>
      <c r="D193" s="37"/>
      <c r="E193" s="37"/>
      <c r="F193" s="37"/>
      <c r="G193" s="38"/>
      <c r="H193" s="39"/>
      <c r="I193" s="37">
        <v>0</v>
      </c>
      <c r="J193" s="37">
        <v>0</v>
      </c>
      <c r="K193" s="37">
        <f t="shared" si="137"/>
        <v>0</v>
      </c>
      <c r="L193" s="38"/>
      <c r="M193" s="38"/>
      <c r="N193" s="37" t="e">
        <f>-SUMIF(#REF!,$C193,#REF!)/1000</f>
        <v>#REF!</v>
      </c>
      <c r="O193" s="37" t="e">
        <f>SUMIF(#REF!,$C193,#REF!)/1000</f>
        <v>#REF!</v>
      </c>
      <c r="P193" s="37" t="e">
        <f>N193+O193</f>
        <v>#REF!</v>
      </c>
      <c r="Q193" s="39"/>
      <c r="R193" s="157">
        <v>0</v>
      </c>
      <c r="S193" s="157">
        <v>0</v>
      </c>
      <c r="T193" s="157">
        <f>R193+S193</f>
        <v>0</v>
      </c>
      <c r="U193" s="37"/>
      <c r="V193" s="407">
        <v>0</v>
      </c>
      <c r="W193" s="407">
        <v>0</v>
      </c>
      <c r="X193" s="407">
        <f>SUM(V193:W193)</f>
        <v>0</v>
      </c>
      <c r="Y193" s="46"/>
      <c r="Z193" s="46"/>
      <c r="AA193" s="39"/>
      <c r="AB193" s="248">
        <v>0</v>
      </c>
      <c r="AC193" s="248">
        <v>0</v>
      </c>
      <c r="AD193" s="248">
        <f>AB193+AC193</f>
        <v>0</v>
      </c>
      <c r="AE193" s="193"/>
      <c r="AF193" s="199"/>
      <c r="AG193" s="194"/>
      <c r="AH193" s="195"/>
      <c r="AI193" s="163">
        <v>0</v>
      </c>
      <c r="AJ193" s="163">
        <v>0</v>
      </c>
      <c r="AK193" s="163">
        <v>0</v>
      </c>
      <c r="AL193" s="20"/>
      <c r="AM193" s="20"/>
      <c r="AN193" s="20"/>
      <c r="AO193" s="20"/>
      <c r="AP193" s="339"/>
      <c r="AQ193" s="339"/>
      <c r="AR193" s="339">
        <f t="shared" si="104"/>
        <v>0</v>
      </c>
      <c r="AS193" s="226"/>
      <c r="AT193" s="81"/>
      <c r="AU193" s="81"/>
      <c r="AV193" s="81"/>
      <c r="AW193" s="331">
        <v>0</v>
      </c>
      <c r="AX193" s="331">
        <v>0</v>
      </c>
      <c r="AY193" s="331">
        <f t="shared" si="129"/>
        <v>0</v>
      </c>
      <c r="AZ193" s="81"/>
      <c r="BA193" s="81"/>
      <c r="BB193" s="81"/>
      <c r="BC193" s="81"/>
      <c r="BD193" s="221" t="e">
        <f>-SUMIF(#REF!,'pôles &amp; actions'!$C193,#REF!)/1000</f>
        <v>#REF!</v>
      </c>
      <c r="BE193" s="221" t="e">
        <f>SUMIF(#REF!,'pôles &amp; actions'!$C193,#REF!)/1000</f>
        <v>#REF!</v>
      </c>
      <c r="BF193" s="221" t="e">
        <f t="shared" si="105"/>
        <v>#REF!</v>
      </c>
      <c r="BG193" s="221" t="e">
        <f t="shared" si="132"/>
        <v>#REF!</v>
      </c>
      <c r="BK193" s="345"/>
      <c r="BL193" s="345"/>
      <c r="BM193" s="345">
        <f t="shared" si="133"/>
        <v>0</v>
      </c>
      <c r="BN193" s="226"/>
    </row>
    <row r="194" spans="1:66" ht="15" customHeight="1" x14ac:dyDescent="0.25">
      <c r="A194" s="324">
        <v>182</v>
      </c>
      <c r="B194" s="385" t="s">
        <v>255</v>
      </c>
      <c r="C194" s="386" t="s">
        <v>256</v>
      </c>
      <c r="D194" s="37"/>
      <c r="E194" s="37"/>
      <c r="F194" s="37"/>
      <c r="G194" s="38"/>
      <c r="H194" s="39"/>
      <c r="I194" s="37">
        <v>-1</v>
      </c>
      <c r="J194" s="37">
        <v>0.2</v>
      </c>
      <c r="K194" s="37">
        <f t="shared" si="137"/>
        <v>-0.8</v>
      </c>
      <c r="L194" s="38"/>
      <c r="M194" s="38"/>
      <c r="N194" s="37" t="e">
        <f>-SUMIF(#REF!,$C194,#REF!)/1000</f>
        <v>#REF!</v>
      </c>
      <c r="O194" s="37" t="e">
        <f>SUMIF(#REF!,$C194,#REF!)/1000</f>
        <v>#REF!</v>
      </c>
      <c r="P194" s="37" t="e">
        <f>N194+O194</f>
        <v>#REF!</v>
      </c>
      <c r="Q194" s="39"/>
      <c r="R194" s="157">
        <v>-5</v>
      </c>
      <c r="S194" s="157">
        <v>0.2</v>
      </c>
      <c r="T194" s="157">
        <f>R194+S194</f>
        <v>-4.8</v>
      </c>
      <c r="U194" s="37"/>
      <c r="V194" s="407">
        <v>-7.9339399999999989</v>
      </c>
      <c r="W194" s="407">
        <v>6.7078999999999995</v>
      </c>
      <c r="X194" s="407">
        <f>SUM(V194:W194)</f>
        <v>-1.2260399999999994</v>
      </c>
      <c r="Y194" s="46"/>
      <c r="Z194" s="131" t="s">
        <v>418</v>
      </c>
      <c r="AA194" s="39"/>
      <c r="AB194" s="259"/>
      <c r="AC194" s="259"/>
      <c r="AD194" s="259"/>
      <c r="AE194" s="193"/>
      <c r="AF194" s="199"/>
      <c r="AG194" s="194"/>
      <c r="AH194" s="195"/>
      <c r="AI194" s="163">
        <v>-9.2466400000000011</v>
      </c>
      <c r="AJ194" s="163">
        <v>7.6937999999999995</v>
      </c>
      <c r="AK194" s="163">
        <v>-1.5528400000000016</v>
      </c>
      <c r="AL194" s="20"/>
      <c r="AM194" s="20"/>
      <c r="AN194" s="20"/>
      <c r="AO194" s="20"/>
      <c r="AP194" s="339">
        <v>-857.10299999999995</v>
      </c>
      <c r="AQ194" s="339">
        <v>857.10299999999995</v>
      </c>
      <c r="AR194" s="339">
        <f t="shared" si="104"/>
        <v>0</v>
      </c>
      <c r="AS194" s="226"/>
      <c r="AT194" s="81"/>
      <c r="AU194" s="306" t="s">
        <v>531</v>
      </c>
      <c r="AV194" s="306"/>
      <c r="AW194" s="331">
        <v>-457.45858999999996</v>
      </c>
      <c r="AX194" s="331">
        <v>396.73922999999996</v>
      </c>
      <c r="AY194" s="331">
        <f t="shared" si="129"/>
        <v>-60.719359999999995</v>
      </c>
      <c r="AZ194" s="306"/>
      <c r="BA194" s="306"/>
      <c r="BB194" s="306"/>
      <c r="BC194" s="81"/>
      <c r="BD194" s="221" t="e">
        <f>-SUMIF(#REF!,'pôles &amp; actions'!$C194,#REF!)/1000</f>
        <v>#REF!</v>
      </c>
      <c r="BE194" s="221" t="e">
        <f>SUMIF(#REF!,'pôles &amp; actions'!$C194,#REF!)/1000</f>
        <v>#REF!</v>
      </c>
      <c r="BF194" s="221" t="e">
        <f t="shared" si="105"/>
        <v>#REF!</v>
      </c>
      <c r="BG194" s="221" t="e">
        <f t="shared" si="132"/>
        <v>#REF!</v>
      </c>
      <c r="BK194" s="345"/>
      <c r="BL194" s="345"/>
      <c r="BM194" s="345">
        <f t="shared" si="133"/>
        <v>0</v>
      </c>
      <c r="BN194" s="226"/>
    </row>
    <row r="195" spans="1:66" ht="15" customHeight="1" x14ac:dyDescent="0.25">
      <c r="A195" s="324">
        <v>183</v>
      </c>
      <c r="B195" s="385" t="s">
        <v>257</v>
      </c>
      <c r="C195" s="386" t="s">
        <v>258</v>
      </c>
      <c r="D195" s="37"/>
      <c r="E195" s="37"/>
      <c r="F195" s="37"/>
      <c r="G195" s="38"/>
      <c r="H195" s="39"/>
      <c r="I195" s="37"/>
      <c r="J195" s="37"/>
      <c r="K195" s="37">
        <v>0</v>
      </c>
      <c r="L195" s="38"/>
      <c r="M195" s="38"/>
      <c r="N195" s="37" t="e">
        <f>-SUMIF(#REF!,$C195,#REF!)/1000</f>
        <v>#REF!</v>
      </c>
      <c r="O195" s="37" t="e">
        <f>SUMIF(#REF!,$C195,#REF!)/1000</f>
        <v>#REF!</v>
      </c>
      <c r="P195" s="37">
        <v>0</v>
      </c>
      <c r="Q195" s="39"/>
      <c r="R195" s="159">
        <v>-4.25</v>
      </c>
      <c r="S195" s="159">
        <v>0</v>
      </c>
      <c r="T195" s="159">
        <f>R195+S195</f>
        <v>-4.25</v>
      </c>
      <c r="U195" s="37"/>
      <c r="V195" s="416">
        <v>0</v>
      </c>
      <c r="W195" s="416">
        <v>0</v>
      </c>
      <c r="X195" s="416">
        <f>SUM(V195:W195)</f>
        <v>0</v>
      </c>
      <c r="Y195" s="46"/>
      <c r="Z195" s="46"/>
      <c r="AA195" s="39"/>
      <c r="AB195" s="256">
        <v>-3.9</v>
      </c>
      <c r="AC195" s="256"/>
      <c r="AD195" s="256">
        <f>AB195+AC195</f>
        <v>-3.9</v>
      </c>
      <c r="AE195" s="193"/>
      <c r="AF195" s="199"/>
      <c r="AG195" s="194" t="s">
        <v>404</v>
      </c>
      <c r="AH195" s="195"/>
      <c r="AI195" s="163">
        <v>0</v>
      </c>
      <c r="AJ195" s="163">
        <v>0</v>
      </c>
      <c r="AK195" s="163">
        <v>0</v>
      </c>
      <c r="AL195" s="20"/>
      <c r="AM195" s="20"/>
      <c r="AN195" s="20"/>
      <c r="AO195" s="20"/>
      <c r="AP195" s="339">
        <v>-3.9</v>
      </c>
      <c r="AQ195" s="339"/>
      <c r="AR195" s="339">
        <f t="shared" si="104"/>
        <v>-3.9</v>
      </c>
      <c r="AS195" s="226"/>
      <c r="AT195" s="81"/>
      <c r="AU195" s="81"/>
      <c r="AV195" s="81"/>
      <c r="AW195" s="331">
        <v>0</v>
      </c>
      <c r="AX195" s="331">
        <v>0</v>
      </c>
      <c r="AY195" s="331">
        <f t="shared" si="129"/>
        <v>0</v>
      </c>
      <c r="AZ195" s="81"/>
      <c r="BA195" s="81"/>
      <c r="BB195" s="81"/>
      <c r="BC195" s="81"/>
      <c r="BD195" s="221" t="e">
        <f>-SUMIF(#REF!,'pôles &amp; actions'!$C195,#REF!)/1000</f>
        <v>#REF!</v>
      </c>
      <c r="BE195" s="221" t="e">
        <f>SUMIF(#REF!,'pôles &amp; actions'!$C195,#REF!)/1000</f>
        <v>#REF!</v>
      </c>
      <c r="BF195" s="221" t="e">
        <f t="shared" si="105"/>
        <v>#REF!</v>
      </c>
      <c r="BG195" s="221" t="e">
        <f t="shared" si="132"/>
        <v>#REF!</v>
      </c>
      <c r="BK195" s="345">
        <v>-4.8</v>
      </c>
      <c r="BL195" s="345"/>
      <c r="BM195" s="345">
        <f t="shared" si="133"/>
        <v>-4.8</v>
      </c>
      <c r="BN195" s="226"/>
    </row>
    <row r="196" spans="1:66" ht="15" customHeight="1" x14ac:dyDescent="0.25">
      <c r="A196" s="324">
        <v>184</v>
      </c>
      <c r="B196" s="387" t="s">
        <v>259</v>
      </c>
      <c r="C196" s="388"/>
      <c r="D196" s="42">
        <f t="shared" ref="D196:F196" si="138">SUM(D189:D195)</f>
        <v>-17</v>
      </c>
      <c r="E196" s="42">
        <f t="shared" si="138"/>
        <v>0</v>
      </c>
      <c r="F196" s="42">
        <f t="shared" si="138"/>
        <v>-17</v>
      </c>
      <c r="G196" s="38"/>
      <c r="H196" s="39"/>
      <c r="I196" s="42">
        <f t="shared" ref="I196:K196" si="139">SUM(I189:I195)</f>
        <v>-5.3</v>
      </c>
      <c r="J196" s="42">
        <f t="shared" si="139"/>
        <v>2.3000000000000003</v>
      </c>
      <c r="K196" s="42">
        <f t="shared" si="139"/>
        <v>-3</v>
      </c>
      <c r="L196" s="38"/>
      <c r="M196" s="38"/>
      <c r="N196" s="42" t="e">
        <f t="shared" ref="N196:P196" si="140">SUM(N189:N195)</f>
        <v>#REF!</v>
      </c>
      <c r="O196" s="42" t="e">
        <f t="shared" si="140"/>
        <v>#REF!</v>
      </c>
      <c r="P196" s="42" t="e">
        <f t="shared" si="140"/>
        <v>#REF!</v>
      </c>
      <c r="Q196" s="39"/>
      <c r="R196" s="92">
        <f t="shared" ref="R196:T196" si="141">SUM(R189:R195)</f>
        <v>-14.45</v>
      </c>
      <c r="S196" s="92">
        <f t="shared" si="141"/>
        <v>2.2000000000000002</v>
      </c>
      <c r="T196" s="92">
        <f t="shared" si="141"/>
        <v>-12.25</v>
      </c>
      <c r="U196" s="42"/>
      <c r="V196" s="410">
        <f t="shared" ref="V196:X196" si="142">SUM(V189:V195)</f>
        <v>-19.336130000000001</v>
      </c>
      <c r="W196" s="410">
        <f t="shared" si="142"/>
        <v>7.5859999999999994</v>
      </c>
      <c r="X196" s="410">
        <f t="shared" si="142"/>
        <v>-11.75013</v>
      </c>
      <c r="Y196" s="67"/>
      <c r="Z196" s="67">
        <f t="shared" ref="Z196" si="143">SUM(Z189:Z195)</f>
        <v>0</v>
      </c>
      <c r="AA196" s="39"/>
      <c r="AB196" s="251">
        <f t="shared" ref="AB196:AC196" si="144">SUM(AB189:AB195)</f>
        <v>-51.499999999999993</v>
      </c>
      <c r="AC196" s="252">
        <f t="shared" si="144"/>
        <v>0</v>
      </c>
      <c r="AD196" s="238">
        <f>SUM(AD189:AD195)</f>
        <v>-51.499999999999993</v>
      </c>
      <c r="AE196" s="41"/>
      <c r="AF196" s="80"/>
      <c r="AG196" s="194"/>
      <c r="AH196" s="195"/>
      <c r="AI196" s="285">
        <f t="shared" ref="AI196:AJ196" si="145">SUM(AI189:AI195)</f>
        <v>-15.188140000000001</v>
      </c>
      <c r="AJ196" s="285">
        <f t="shared" si="145"/>
        <v>9.9190499999999986</v>
      </c>
      <c r="AK196" s="285">
        <f>AJ196+AI196</f>
        <v>-5.269090000000002</v>
      </c>
      <c r="AL196" s="26"/>
      <c r="AM196" s="26"/>
      <c r="AN196" s="26"/>
      <c r="AO196" s="81"/>
      <c r="AP196" s="418">
        <f t="shared" ref="AP196:AQ196" si="146">SUM(AP189:AP195)</f>
        <v>-914.80299999999988</v>
      </c>
      <c r="AQ196" s="418">
        <f t="shared" si="146"/>
        <v>858.10299999999995</v>
      </c>
      <c r="AR196" s="418">
        <f t="shared" si="104"/>
        <v>-56.699999999999932</v>
      </c>
      <c r="AS196" s="226"/>
      <c r="AT196" s="81"/>
      <c r="AU196" s="81"/>
      <c r="AV196" s="81"/>
      <c r="AW196" s="430">
        <f t="shared" ref="AW196:AX196" si="147">SUM(AW189:AW195)</f>
        <v>-464.05314999999996</v>
      </c>
      <c r="AX196" s="430">
        <f t="shared" si="147"/>
        <v>405.42946999999998</v>
      </c>
      <c r="AY196" s="430">
        <f t="shared" si="129"/>
        <v>-58.623679999999979</v>
      </c>
      <c r="AZ196" s="81"/>
      <c r="BA196" s="81"/>
      <c r="BB196" s="81"/>
      <c r="BC196" s="81"/>
      <c r="BD196" s="227" t="e">
        <f>SUM(BD189:BD195)</f>
        <v>#REF!</v>
      </c>
      <c r="BE196" s="227" t="e">
        <f t="shared" ref="BE196" si="148">SUM(BE189:BE195)</f>
        <v>#REF!</v>
      </c>
      <c r="BF196" s="227" t="e">
        <f t="shared" si="105"/>
        <v>#REF!</v>
      </c>
      <c r="BG196" s="221" t="e">
        <f t="shared" si="132"/>
        <v>#REF!</v>
      </c>
      <c r="BK196" s="436">
        <f t="shared" ref="BK196:BL196" si="149">SUM(BK189:BK195)</f>
        <v>-23.363</v>
      </c>
      <c r="BL196" s="436">
        <f t="shared" si="149"/>
        <v>4.9630000000000001</v>
      </c>
      <c r="BM196" s="436">
        <f t="shared" si="133"/>
        <v>-18.399999999999999</v>
      </c>
      <c r="BN196" s="226"/>
    </row>
    <row r="197" spans="1:66" ht="15" customHeight="1" x14ac:dyDescent="0.25">
      <c r="A197" s="324">
        <v>185</v>
      </c>
      <c r="B197" s="387" t="s">
        <v>260</v>
      </c>
      <c r="C197" s="388"/>
      <c r="D197" s="42">
        <f>SUM(D196,D153,D129,D95,D67,D23,D174)</f>
        <v>-469.36500000000001</v>
      </c>
      <c r="E197" s="42">
        <f>SUM(E196,E153,E129,E95,E67,E23,E174)</f>
        <v>246.82499999999999</v>
      </c>
      <c r="F197" s="42">
        <f>SUM(F196,F153,F129,F95,F67,F23,F174)</f>
        <v>-222.53999999999996</v>
      </c>
      <c r="G197" s="38"/>
      <c r="H197" s="39"/>
      <c r="I197" s="42">
        <f>SUM(I196,I153,I129,I95,I67,I23,I174)</f>
        <v>-497.69049999999999</v>
      </c>
      <c r="J197" s="42">
        <f>SUM(J196,J153,J129,J95,J67,J23,J174)</f>
        <v>360.07349999999997</v>
      </c>
      <c r="K197" s="42">
        <f>SUM(K196,K153,K129,K95,K67,K23,K174)</f>
        <v>-137.61700000000002</v>
      </c>
      <c r="L197" s="38"/>
      <c r="M197" s="38"/>
      <c r="N197" s="42" t="e">
        <f>SUM(N196,N153,N129,N95,N67,N23,N174)</f>
        <v>#REF!</v>
      </c>
      <c r="O197" s="42" t="e">
        <f>SUM(O196,O153,O129,O95,O67,O23,O174)</f>
        <v>#REF!</v>
      </c>
      <c r="P197" s="42" t="e">
        <f>SUM(P196,P153,P129,P95,P67,P23,P174)</f>
        <v>#REF!</v>
      </c>
      <c r="Q197" s="39"/>
      <c r="R197" s="92">
        <f>SUM(R196,R153,R129,R95,R67,R23,R174)</f>
        <v>-543.69200000000001</v>
      </c>
      <c r="S197" s="92">
        <f>SUM(S196,S153,S129,S95,S67,S23,S174)</f>
        <v>278.16500000000002</v>
      </c>
      <c r="T197" s="92">
        <f>SUM(T196,T153,T129,T95,T67,T23,T174)</f>
        <v>-265.52699999999999</v>
      </c>
      <c r="U197" s="42"/>
      <c r="V197" s="410">
        <f>SUM(V196,V153,V129,V95,V67,V23,V174)</f>
        <v>-362.73466999999999</v>
      </c>
      <c r="W197" s="410">
        <f>SUM(W196,W153,W129,W95,W67,W23,W174)</f>
        <v>186.02751000000001</v>
      </c>
      <c r="X197" s="410">
        <f>SUM(X196,X153,X129,X95,X67,X23,X174)</f>
        <v>-177.4836</v>
      </c>
      <c r="Y197" s="67"/>
      <c r="Z197" s="67">
        <f>SUM(Z196,Z153,Z129,Z95,Z67,Z23,Z174)</f>
        <v>0</v>
      </c>
      <c r="AA197" s="39"/>
      <c r="AB197" s="251">
        <f>SUM(AB196,AB153,AB129,AB95,AB67,AB23,AB174)</f>
        <v>-509.20266666666669</v>
      </c>
      <c r="AC197" s="252">
        <f>SUM(AC196,AC153,AC129,AC95,AC67,AC23,AC174)</f>
        <v>290.33000000000004</v>
      </c>
      <c r="AD197" s="238">
        <f>SUM(AD196,AD153,AD129,AD95,AD67,AD23,AD174)</f>
        <v>-218.87266666666665</v>
      </c>
      <c r="AE197" s="41"/>
      <c r="AF197" s="80"/>
      <c r="AG197" s="194"/>
      <c r="AH197" s="195"/>
      <c r="AI197" s="285">
        <f>SUM(AI196,AI153,AI129,AI95,AI67,AI23,AI174)</f>
        <v>-428.75620999999995</v>
      </c>
      <c r="AJ197" s="285">
        <f>SUM(AJ196,AJ153,AJ129,AJ95,AJ67,AJ23,AJ174)</f>
        <v>308.75982999999997</v>
      </c>
      <c r="AK197" s="285">
        <f>AJ197+AI197</f>
        <v>-119.99637999999999</v>
      </c>
      <c r="AL197" s="26"/>
      <c r="AM197" s="26"/>
      <c r="AN197" s="26"/>
      <c r="AO197" s="81"/>
      <c r="AP197" s="418">
        <f>SUM(AP196,AP153,AP129,AP95,AP67,AP23,AP174)</f>
        <v>-1499.9039999999998</v>
      </c>
      <c r="AQ197" s="418">
        <f>SUM(AQ196,AQ153,AQ129,AQ95,AQ67,AQ23,AQ174)</f>
        <v>1232.6480000000001</v>
      </c>
      <c r="AR197" s="418">
        <f t="shared" si="104"/>
        <v>-267.25599999999963</v>
      </c>
      <c r="AS197" s="226"/>
      <c r="AT197" s="81"/>
      <c r="AU197" s="81"/>
      <c r="AV197" s="81"/>
      <c r="AW197" s="430">
        <f>SUM(AW196,AW153,AW129,AW95,AW67,AW23,AW174)</f>
        <v>-940.99455999999975</v>
      </c>
      <c r="AX197" s="430">
        <f>SUM(AX196,AX153,AX129,AX95,AX67,AX23,AX174)</f>
        <v>740.86682999999994</v>
      </c>
      <c r="AY197" s="430">
        <f t="shared" si="129"/>
        <v>-200.12772999999981</v>
      </c>
      <c r="AZ197" s="81"/>
      <c r="BA197" s="81"/>
      <c r="BB197" s="81"/>
      <c r="BC197" s="81"/>
      <c r="BD197" s="227" t="e">
        <f>SUM(BD196,BD153,BD129,BD95,BD67,BD23,BD174)</f>
        <v>#REF!</v>
      </c>
      <c r="BE197" s="227" t="e">
        <f>SUM(BE196,BE153,BE129,BE95,BE67,BE23,BE174)</f>
        <v>#REF!</v>
      </c>
      <c r="BF197" s="227" t="e">
        <f t="shared" si="105"/>
        <v>#REF!</v>
      </c>
      <c r="BG197" s="221" t="e">
        <f t="shared" si="132"/>
        <v>#REF!</v>
      </c>
      <c r="BK197" s="436">
        <f>SUM(BK196,BK153,BK129,BK95,BK67,BK23,BK174)</f>
        <v>-639.38</v>
      </c>
      <c r="BL197" s="436">
        <f>SUM(BL196,BL153,BL129,BL95,BL67,BL23,BL174)</f>
        <v>368.59299999999996</v>
      </c>
      <c r="BM197" s="436">
        <f t="shared" si="133"/>
        <v>-270.78700000000003</v>
      </c>
      <c r="BN197" s="226"/>
    </row>
    <row r="198" spans="1:66" x14ac:dyDescent="0.25">
      <c r="D198" s="47"/>
      <c r="E198" s="47"/>
      <c r="F198" s="47"/>
      <c r="H198" s="47"/>
      <c r="I198" s="47"/>
      <c r="J198" s="47"/>
      <c r="K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63"/>
      <c r="AF198" s="199"/>
    </row>
    <row r="199" spans="1:66" x14ac:dyDescent="0.25">
      <c r="D199" s="47"/>
      <c r="E199" s="47"/>
      <c r="F199" s="47"/>
      <c r="H199" s="47"/>
      <c r="I199" s="47"/>
      <c r="J199" s="47"/>
      <c r="K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63"/>
      <c r="AF199" s="40"/>
      <c r="BD199" s="32">
        <v>353.28199999999998</v>
      </c>
      <c r="BE199" s="32">
        <v>186.02699999999999</v>
      </c>
    </row>
    <row r="200" spans="1:66" x14ac:dyDescent="0.25">
      <c r="B200" s="48" t="str">
        <f>B4</f>
        <v>en k€</v>
      </c>
      <c r="C200" s="313"/>
      <c r="D200" s="49"/>
      <c r="E200" s="49"/>
      <c r="F200" s="49"/>
      <c r="G200" s="49"/>
      <c r="H200" s="49"/>
      <c r="I200" s="49"/>
      <c r="J200" s="49"/>
      <c r="K200" s="50" t="str">
        <f>K4</f>
        <v>2018a</v>
      </c>
      <c r="L200" s="49"/>
      <c r="M200" s="49"/>
      <c r="N200" s="49"/>
      <c r="O200" s="49"/>
      <c r="P200" s="49" t="str">
        <f>P4</f>
        <v>2019a</v>
      </c>
      <c r="Q200" s="49"/>
      <c r="R200" s="49"/>
      <c r="S200" s="49"/>
      <c r="T200" s="49"/>
      <c r="U200" s="49"/>
      <c r="V200" s="49"/>
      <c r="W200" s="49"/>
      <c r="X200" s="49" t="str">
        <f>V3</f>
        <v>Réalisé 2020</v>
      </c>
      <c r="Y200" s="49"/>
      <c r="Z200" s="49"/>
      <c r="AA200" s="49"/>
      <c r="AB200" s="49" t="str">
        <f>AB4</f>
        <v>dépense</v>
      </c>
      <c r="AC200" s="49" t="str">
        <f>AC4</f>
        <v>recette</v>
      </c>
      <c r="AD200" s="28" t="str">
        <f>AD4</f>
        <v>résultat</v>
      </c>
      <c r="AF200" s="40"/>
      <c r="AK200" s="49" t="str">
        <f>AI3</f>
        <v>réalisé 2021</v>
      </c>
      <c r="AR200" s="49" t="str">
        <f>AP3</f>
        <v>Budget 2022</v>
      </c>
      <c r="AY200" s="49" t="str">
        <f>AW3</f>
        <v>réalisé 2022</v>
      </c>
      <c r="BD200" s="32">
        <v>9.5</v>
      </c>
      <c r="BM200" s="49" t="str">
        <f>BK3</f>
        <v>Budget 2023</v>
      </c>
    </row>
    <row r="201" spans="1:66" x14ac:dyDescent="0.25">
      <c r="B201" s="51" t="s">
        <v>63</v>
      </c>
      <c r="K201" s="52">
        <f>K23</f>
        <v>-21.129999999999995</v>
      </c>
      <c r="L201" s="53"/>
      <c r="M201" s="53"/>
      <c r="N201" s="53"/>
      <c r="O201" s="53"/>
      <c r="P201" s="52" t="e">
        <f>P23</f>
        <v>#REF!</v>
      </c>
      <c r="Q201" s="53"/>
      <c r="R201" s="53"/>
      <c r="S201" s="53"/>
      <c r="T201" s="53"/>
      <c r="U201" s="53"/>
      <c r="V201" s="53"/>
      <c r="W201" s="53"/>
      <c r="X201" s="52">
        <f>X23</f>
        <v>-27.052630000000001</v>
      </c>
      <c r="Y201" s="54"/>
      <c r="Z201" s="54"/>
      <c r="AA201" s="53"/>
      <c r="AB201" s="52">
        <f>AB23</f>
        <v>-112.8</v>
      </c>
      <c r="AC201" s="52">
        <f>AC23</f>
        <v>84.660000000000011</v>
      </c>
      <c r="AD201" s="108">
        <f>AD23</f>
        <v>-28.14</v>
      </c>
      <c r="AF201" s="40"/>
      <c r="AK201" s="52">
        <f>AK23</f>
        <v>-6.4667500000000047</v>
      </c>
      <c r="AR201" s="52">
        <f>AR23</f>
        <v>-18.415000000000006</v>
      </c>
      <c r="AY201" s="52">
        <f>AY23</f>
        <v>-19.271029999999968</v>
      </c>
      <c r="BM201" s="52">
        <f>BM23</f>
        <v>-19.900000000000006</v>
      </c>
    </row>
    <row r="202" spans="1:66" x14ac:dyDescent="0.25">
      <c r="B202" s="31" t="s">
        <v>111</v>
      </c>
      <c r="K202" s="54">
        <f>K67</f>
        <v>-36.573000000000008</v>
      </c>
      <c r="L202" s="53"/>
      <c r="M202" s="53"/>
      <c r="N202" s="53"/>
      <c r="O202" s="53"/>
      <c r="P202" s="54" t="e">
        <f>P67</f>
        <v>#REF!</v>
      </c>
      <c r="Q202" s="53"/>
      <c r="R202" s="53"/>
      <c r="S202" s="53"/>
      <c r="T202" s="53"/>
      <c r="U202" s="53"/>
      <c r="V202" s="53"/>
      <c r="W202" s="53"/>
      <c r="X202" s="54">
        <f>X67</f>
        <v>-34.565539999999999</v>
      </c>
      <c r="Y202" s="54"/>
      <c r="Z202" s="54"/>
      <c r="AA202" s="53"/>
      <c r="AB202" s="54">
        <f>AB67</f>
        <v>-152.61600000000001</v>
      </c>
      <c r="AC202" s="54">
        <f>AC67</f>
        <v>108.97</v>
      </c>
      <c r="AD202" s="46">
        <f>AD67</f>
        <v>-43.646000000000001</v>
      </c>
      <c r="AF202" s="40"/>
      <c r="AK202" s="54">
        <f>AK67</f>
        <v>-27.331139999999991</v>
      </c>
      <c r="AR202" s="54">
        <f>AR67</f>
        <v>-79.149999999999977</v>
      </c>
      <c r="AY202" s="54">
        <f>AY67</f>
        <v>-40.201409999999981</v>
      </c>
      <c r="BM202" s="54">
        <f>BM67</f>
        <v>-76.295000000000016</v>
      </c>
    </row>
    <row r="203" spans="1:66" x14ac:dyDescent="0.25">
      <c r="B203" s="31" t="s">
        <v>135</v>
      </c>
      <c r="K203" s="54">
        <f>K95</f>
        <v>-21.768000000000001</v>
      </c>
      <c r="L203" s="53"/>
      <c r="M203" s="53"/>
      <c r="N203" s="53"/>
      <c r="O203" s="53"/>
      <c r="P203" s="54" t="e">
        <f>P95</f>
        <v>#REF!</v>
      </c>
      <c r="Q203" s="53"/>
      <c r="R203" s="53"/>
      <c r="S203" s="53"/>
      <c r="T203" s="53"/>
      <c r="U203" s="53"/>
      <c r="V203" s="53"/>
      <c r="W203" s="53"/>
      <c r="X203" s="54">
        <f>X95</f>
        <v>-20.228650000000002</v>
      </c>
      <c r="Y203" s="54"/>
      <c r="Z203" s="54"/>
      <c r="AA203" s="53"/>
      <c r="AB203" s="54">
        <f>AB95</f>
        <v>-24.766666666666669</v>
      </c>
      <c r="AC203" s="54">
        <f>AC95</f>
        <v>10.4</v>
      </c>
      <c r="AD203" s="46">
        <f>AD95</f>
        <v>-14.366666666666667</v>
      </c>
      <c r="AF203" s="40"/>
      <c r="AK203" s="54">
        <f>AK95</f>
        <v>-14.028659999999999</v>
      </c>
      <c r="AR203" s="54">
        <f>AR95</f>
        <v>-32.476999999999997</v>
      </c>
      <c r="AY203" s="54">
        <f>AY95</f>
        <v>-16.770620000000001</v>
      </c>
      <c r="BM203" s="54">
        <f>BM95</f>
        <v>-41.757999999999996</v>
      </c>
    </row>
    <row r="204" spans="1:66" x14ac:dyDescent="0.25">
      <c r="B204" s="31" t="s">
        <v>178</v>
      </c>
      <c r="K204" s="54">
        <f>K129</f>
        <v>-11.942500000000003</v>
      </c>
      <c r="L204" s="53"/>
      <c r="M204" s="53"/>
      <c r="N204" s="53"/>
      <c r="O204" s="53"/>
      <c r="P204" s="54" t="e">
        <f>P129</f>
        <v>#REF!</v>
      </c>
      <c r="Q204" s="53"/>
      <c r="R204" s="53"/>
      <c r="S204" s="53"/>
      <c r="T204" s="53"/>
      <c r="U204" s="53"/>
      <c r="V204" s="53"/>
      <c r="W204" s="53"/>
      <c r="X204" s="54">
        <f>X129</f>
        <v>-20.574749999999995</v>
      </c>
      <c r="Y204" s="54"/>
      <c r="Z204" s="54"/>
      <c r="AA204" s="53"/>
      <c r="AB204" s="54">
        <f>AB129</f>
        <v>-79.3</v>
      </c>
      <c r="AC204" s="54">
        <f>AC129</f>
        <v>60</v>
      </c>
      <c r="AD204" s="46">
        <f>AD129</f>
        <v>-19.3</v>
      </c>
      <c r="AF204" s="40"/>
      <c r="AK204" s="54">
        <f>AK129</f>
        <v>-21.301940000000002</v>
      </c>
      <c r="AR204" s="54">
        <f>AR129</f>
        <v>-20.78</v>
      </c>
      <c r="AY204" s="54">
        <f>AY129</f>
        <v>-28.472850000000022</v>
      </c>
      <c r="BM204" s="54">
        <f>BM129</f>
        <v>-21.299999999999997</v>
      </c>
    </row>
    <row r="205" spans="1:66" x14ac:dyDescent="0.25">
      <c r="B205" s="31" t="s">
        <v>204</v>
      </c>
      <c r="K205" s="54">
        <f>K153</f>
        <v>-1.3035000000000032</v>
      </c>
      <c r="L205" s="53"/>
      <c r="M205" s="53"/>
      <c r="N205" s="53"/>
      <c r="O205" s="53"/>
      <c r="P205" s="54" t="e">
        <f>P153</f>
        <v>#REF!</v>
      </c>
      <c r="Q205" s="53"/>
      <c r="R205" s="53"/>
      <c r="S205" s="53"/>
      <c r="T205" s="53"/>
      <c r="U205" s="53"/>
      <c r="V205" s="53"/>
      <c r="W205" s="53"/>
      <c r="X205" s="54">
        <f>X153</f>
        <v>-14.09313</v>
      </c>
      <c r="Y205" s="54"/>
      <c r="Z205" s="54"/>
      <c r="AA205" s="53"/>
      <c r="AB205" s="54">
        <f t="shared" ref="AB205:AC205" si="150">AB153</f>
        <v>-7.8</v>
      </c>
      <c r="AC205" s="54">
        <f t="shared" si="150"/>
        <v>1</v>
      </c>
      <c r="AD205" s="46">
        <f>AD153</f>
        <v>-6.8</v>
      </c>
      <c r="AF205" s="40"/>
      <c r="AK205" s="54">
        <f>AK153</f>
        <v>-1.7242600000000001</v>
      </c>
      <c r="AR205" s="54">
        <f>AR153</f>
        <v>-5.8</v>
      </c>
      <c r="AY205" s="54">
        <f>AY153</f>
        <v>19.139979999999994</v>
      </c>
      <c r="BD205" s="32">
        <f>SUM(BD199:BD202)</f>
        <v>362.78199999999998</v>
      </c>
      <c r="BE205" s="32">
        <f>SUM(BE199:BE202)</f>
        <v>186.02699999999999</v>
      </c>
      <c r="BM205" s="54">
        <f>BM153</f>
        <v>-5.5</v>
      </c>
    </row>
    <row r="206" spans="1:66" x14ac:dyDescent="0.25">
      <c r="B206" s="31" t="s">
        <v>229</v>
      </c>
      <c r="K206" s="54">
        <f>K174</f>
        <v>-41.9</v>
      </c>
      <c r="L206" s="53"/>
      <c r="M206" s="53"/>
      <c r="N206" s="53"/>
      <c r="O206" s="53"/>
      <c r="P206" s="54" t="e">
        <f>P174</f>
        <v>#REF!</v>
      </c>
      <c r="Q206" s="53"/>
      <c r="R206" s="53"/>
      <c r="S206" s="53"/>
      <c r="T206" s="53"/>
      <c r="U206" s="53"/>
      <c r="V206" s="53"/>
      <c r="W206" s="53"/>
      <c r="X206" s="54">
        <f>X174</f>
        <v>-49.218769999999999</v>
      </c>
      <c r="Y206" s="54"/>
      <c r="Z206" s="54"/>
      <c r="AA206" s="53"/>
      <c r="AB206" s="54">
        <f t="shared" ref="AB206:AC206" si="151">AB174</f>
        <v>-80.419999999999987</v>
      </c>
      <c r="AC206" s="54">
        <f t="shared" si="151"/>
        <v>25.299999999999997</v>
      </c>
      <c r="AD206" s="46">
        <f>AD174</f>
        <v>-55.12</v>
      </c>
      <c r="AF206" s="40"/>
      <c r="AK206" s="54">
        <f>AK174</f>
        <v>-43.874539999999996</v>
      </c>
      <c r="AR206" s="54">
        <f>AR174</f>
        <v>-53.934000000000005</v>
      </c>
      <c r="AY206" s="54">
        <f>AY174</f>
        <v>-55.928119999999993</v>
      </c>
      <c r="BM206" s="54">
        <f>BM174</f>
        <v>-87.634</v>
      </c>
    </row>
    <row r="207" spans="1:66" x14ac:dyDescent="0.25">
      <c r="B207" s="31" t="s">
        <v>110</v>
      </c>
      <c r="K207" s="54">
        <f>K196+K189</f>
        <v>-2.2000000000000002</v>
      </c>
      <c r="L207" s="53"/>
      <c r="M207" s="53"/>
      <c r="N207" s="53"/>
      <c r="O207" s="53"/>
      <c r="P207" s="54" t="e">
        <f>P196</f>
        <v>#REF!</v>
      </c>
      <c r="Q207" s="53"/>
      <c r="R207" s="53"/>
      <c r="S207" s="53"/>
      <c r="T207" s="53"/>
      <c r="U207" s="53"/>
      <c r="V207" s="53"/>
      <c r="W207" s="53"/>
      <c r="X207" s="54">
        <f>X196</f>
        <v>-11.75013</v>
      </c>
      <c r="Y207" s="54"/>
      <c r="Z207" s="54"/>
      <c r="AA207" s="53"/>
      <c r="AB207" s="54">
        <f t="shared" ref="AB207:AC207" si="152">AB196</f>
        <v>-51.499999999999993</v>
      </c>
      <c r="AC207" s="54">
        <f t="shared" si="152"/>
        <v>0</v>
      </c>
      <c r="AD207" s="46">
        <f>AD196</f>
        <v>-51.499999999999993</v>
      </c>
      <c r="AF207" s="40"/>
      <c r="AK207" s="54">
        <f>AK196</f>
        <v>-5.269090000000002</v>
      </c>
      <c r="AR207" s="54">
        <f>AR196</f>
        <v>-56.699999999999932</v>
      </c>
      <c r="AY207" s="54">
        <f>AY196</f>
        <v>-58.623679999999979</v>
      </c>
      <c r="BM207" s="54">
        <f>BM196</f>
        <v>-18.399999999999999</v>
      </c>
    </row>
    <row r="208" spans="1:66" x14ac:dyDescent="0.25">
      <c r="B208" s="55" t="s">
        <v>36</v>
      </c>
      <c r="K208" s="56">
        <f>SUM(K201:K207)</f>
        <v>-136.81699999999998</v>
      </c>
      <c r="L208" s="53"/>
      <c r="M208" s="53"/>
      <c r="N208" s="53"/>
      <c r="O208" s="53"/>
      <c r="P208" s="56" t="e">
        <f>SUM(P201:P207)</f>
        <v>#REF!</v>
      </c>
      <c r="Q208" s="53"/>
      <c r="R208" s="53"/>
      <c r="S208" s="53"/>
      <c r="T208" s="53"/>
      <c r="U208" s="53"/>
      <c r="V208" s="53"/>
      <c r="W208" s="53"/>
      <c r="X208" s="56">
        <f>SUM(X201:X207)</f>
        <v>-177.48360000000002</v>
      </c>
      <c r="Y208" s="107"/>
      <c r="Z208" s="107"/>
      <c r="AA208" s="53"/>
      <c r="AB208" s="56">
        <f t="shared" ref="AB208:AC208" si="153">SUM(AB201:AB207)</f>
        <v>-509.20266666666669</v>
      </c>
      <c r="AC208" s="56">
        <f t="shared" si="153"/>
        <v>290.33</v>
      </c>
      <c r="AD208" s="67">
        <f>SUM(AD201:AD207)</f>
        <v>-218.87266666666667</v>
      </c>
      <c r="AF208" s="40"/>
      <c r="AK208" s="56">
        <f>SUM(AK201:AK207)</f>
        <v>-119.99638</v>
      </c>
      <c r="AR208" s="56">
        <f>SUM(AR201:AR207)</f>
        <v>-267.25599999999991</v>
      </c>
      <c r="AY208" s="56">
        <f>SUM(AY201:AY207)</f>
        <v>-200.12772999999996</v>
      </c>
      <c r="BM208" s="56">
        <f>SUM(BM201:BM207)</f>
        <v>-270.78700000000003</v>
      </c>
    </row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spans="3:3" hidden="1" x14ac:dyDescent="0.25"/>
    <row r="226" spans="3:3" hidden="1" x14ac:dyDescent="0.25"/>
    <row r="227" spans="3:3" hidden="1" x14ac:dyDescent="0.25"/>
    <row r="228" spans="3:3" hidden="1" x14ac:dyDescent="0.25"/>
    <row r="229" spans="3:3" hidden="1" x14ac:dyDescent="0.25">
      <c r="C229" s="29"/>
    </row>
    <row r="230" spans="3:3" hidden="1" x14ac:dyDescent="0.25">
      <c r="C230" s="29"/>
    </row>
    <row r="231" spans="3:3" hidden="1" x14ac:dyDescent="0.25">
      <c r="C231" s="29"/>
    </row>
    <row r="232" spans="3:3" hidden="1" x14ac:dyDescent="0.25">
      <c r="C232" s="29"/>
    </row>
    <row r="233" spans="3:3" hidden="1" x14ac:dyDescent="0.25">
      <c r="C233" s="29"/>
    </row>
    <row r="234" spans="3:3" hidden="1" x14ac:dyDescent="0.25">
      <c r="C234" s="29"/>
    </row>
    <row r="235" spans="3:3" hidden="1" x14ac:dyDescent="0.25">
      <c r="C235" s="29"/>
    </row>
    <row r="236" spans="3:3" x14ac:dyDescent="0.25">
      <c r="C236" s="29"/>
    </row>
    <row r="237" spans="3:3" x14ac:dyDescent="0.25">
      <c r="C237" s="29"/>
    </row>
    <row r="238" spans="3:3" x14ac:dyDescent="0.25">
      <c r="C238" s="29"/>
    </row>
    <row r="239" spans="3:3" x14ac:dyDescent="0.25">
      <c r="C239" s="29"/>
    </row>
    <row r="240" spans="3:3" x14ac:dyDescent="0.25">
      <c r="C240" s="29"/>
    </row>
    <row r="241" spans="3:3" x14ac:dyDescent="0.25">
      <c r="C241" s="29"/>
    </row>
    <row r="242" spans="3:3" x14ac:dyDescent="0.25">
      <c r="C242" s="29"/>
    </row>
    <row r="243" spans="3:3" x14ac:dyDescent="0.25">
      <c r="C243" s="29"/>
    </row>
    <row r="244" spans="3:3" x14ac:dyDescent="0.25">
      <c r="C244" s="29"/>
    </row>
    <row r="245" spans="3:3" x14ac:dyDescent="0.25">
      <c r="C245" s="29"/>
    </row>
    <row r="246" spans="3:3" x14ac:dyDescent="0.25">
      <c r="C246" s="29"/>
    </row>
    <row r="247" spans="3:3" x14ac:dyDescent="0.25">
      <c r="C247" s="29"/>
    </row>
    <row r="248" spans="3:3" x14ac:dyDescent="0.25">
      <c r="C248" s="29"/>
    </row>
    <row r="249" spans="3:3" x14ac:dyDescent="0.25">
      <c r="C249" s="29"/>
    </row>
    <row r="250" spans="3:3" x14ac:dyDescent="0.25">
      <c r="C250" s="29"/>
    </row>
    <row r="251" spans="3:3" x14ac:dyDescent="0.25">
      <c r="C251" s="29"/>
    </row>
    <row r="252" spans="3:3" x14ac:dyDescent="0.25">
      <c r="C252" s="29"/>
    </row>
    <row r="253" spans="3:3" x14ac:dyDescent="0.25">
      <c r="C253" s="29"/>
    </row>
    <row r="254" spans="3:3" x14ac:dyDescent="0.25">
      <c r="C254" s="29"/>
    </row>
    <row r="255" spans="3:3" x14ac:dyDescent="0.25">
      <c r="C255" s="29"/>
    </row>
    <row r="256" spans="3:3" x14ac:dyDescent="0.25">
      <c r="C256" s="29"/>
    </row>
    <row r="257" spans="3:3" x14ac:dyDescent="0.25">
      <c r="C257" s="29"/>
    </row>
    <row r="258" spans="3:3" x14ac:dyDescent="0.25">
      <c r="C258" s="29"/>
    </row>
    <row r="259" spans="3:3" x14ac:dyDescent="0.25">
      <c r="C259" s="29"/>
    </row>
    <row r="260" spans="3:3" x14ac:dyDescent="0.25">
      <c r="C260" s="29"/>
    </row>
    <row r="261" spans="3:3" x14ac:dyDescent="0.25">
      <c r="C261" s="29"/>
    </row>
    <row r="262" spans="3:3" x14ac:dyDescent="0.25">
      <c r="C262" s="29"/>
    </row>
    <row r="263" spans="3:3" x14ac:dyDescent="0.25">
      <c r="C263" s="29"/>
    </row>
    <row r="264" spans="3:3" x14ac:dyDescent="0.25">
      <c r="C264" s="29"/>
    </row>
    <row r="265" spans="3:3" x14ac:dyDescent="0.25">
      <c r="C265" s="29"/>
    </row>
    <row r="266" spans="3:3" x14ac:dyDescent="0.25">
      <c r="C266" s="29"/>
    </row>
    <row r="267" spans="3:3" x14ac:dyDescent="0.25">
      <c r="C267" s="29"/>
    </row>
    <row r="268" spans="3:3" x14ac:dyDescent="0.25">
      <c r="C268" s="29"/>
    </row>
    <row r="269" spans="3:3" x14ac:dyDescent="0.25">
      <c r="C269" s="29"/>
    </row>
    <row r="270" spans="3:3" x14ac:dyDescent="0.25">
      <c r="C270" s="29"/>
    </row>
    <row r="271" spans="3:3" x14ac:dyDescent="0.25">
      <c r="C271" s="29"/>
    </row>
    <row r="272" spans="3:3" x14ac:dyDescent="0.25">
      <c r="C272" s="29"/>
    </row>
    <row r="273" spans="3:3" x14ac:dyDescent="0.25">
      <c r="C273" s="29"/>
    </row>
    <row r="274" spans="3:3" x14ac:dyDescent="0.25">
      <c r="C274" s="29"/>
    </row>
    <row r="275" spans="3:3" x14ac:dyDescent="0.25">
      <c r="C275" s="29"/>
    </row>
    <row r="276" spans="3:3" x14ac:dyDescent="0.25">
      <c r="C276" s="29"/>
    </row>
    <row r="277" spans="3:3" x14ac:dyDescent="0.25">
      <c r="C277" s="29"/>
    </row>
    <row r="278" spans="3:3" x14ac:dyDescent="0.25">
      <c r="C278" s="29"/>
    </row>
    <row r="279" spans="3:3" x14ac:dyDescent="0.25">
      <c r="C279" s="29"/>
    </row>
    <row r="280" spans="3:3" x14ac:dyDescent="0.25">
      <c r="C280" s="29"/>
    </row>
    <row r="281" spans="3:3" x14ac:dyDescent="0.25">
      <c r="C281" s="29"/>
    </row>
    <row r="282" spans="3:3" x14ac:dyDescent="0.25">
      <c r="C282" s="29"/>
    </row>
    <row r="283" spans="3:3" x14ac:dyDescent="0.25">
      <c r="C283" s="29"/>
    </row>
    <row r="284" spans="3:3" x14ac:dyDescent="0.25">
      <c r="C284" s="29"/>
    </row>
    <row r="285" spans="3:3" x14ac:dyDescent="0.25">
      <c r="C285" s="29"/>
    </row>
    <row r="286" spans="3:3" x14ac:dyDescent="0.25">
      <c r="C286" s="29"/>
    </row>
    <row r="287" spans="3:3" x14ac:dyDescent="0.25">
      <c r="C287" s="29"/>
    </row>
    <row r="288" spans="3:3" x14ac:dyDescent="0.25">
      <c r="C288" s="312"/>
    </row>
    <row r="289" spans="3:3" x14ac:dyDescent="0.25">
      <c r="C289" s="312"/>
    </row>
    <row r="290" spans="3:3" x14ac:dyDescent="0.25">
      <c r="C290" s="312"/>
    </row>
    <row r="291" spans="3:3" x14ac:dyDescent="0.25">
      <c r="C291" s="312"/>
    </row>
    <row r="292" spans="3:3" x14ac:dyDescent="0.25">
      <c r="C292" s="312"/>
    </row>
    <row r="293" spans="3:3" x14ac:dyDescent="0.25">
      <c r="C293" s="312"/>
    </row>
    <row r="294" spans="3:3" x14ac:dyDescent="0.25">
      <c r="C294" s="312"/>
    </row>
    <row r="295" spans="3:3" x14ac:dyDescent="0.25">
      <c r="C295" s="312"/>
    </row>
    <row r="296" spans="3:3" x14ac:dyDescent="0.25">
      <c r="C296" s="312"/>
    </row>
    <row r="297" spans="3:3" x14ac:dyDescent="0.25">
      <c r="C297" s="312"/>
    </row>
    <row r="298" spans="3:3" x14ac:dyDescent="0.25">
      <c r="C298" s="312"/>
    </row>
    <row r="299" spans="3:3" x14ac:dyDescent="0.25">
      <c r="C299" s="312"/>
    </row>
    <row r="300" spans="3:3" x14ac:dyDescent="0.25">
      <c r="C300" s="312"/>
    </row>
    <row r="301" spans="3:3" x14ac:dyDescent="0.25">
      <c r="C301" s="312"/>
    </row>
    <row r="302" spans="3:3" x14ac:dyDescent="0.25">
      <c r="C302" s="312"/>
    </row>
    <row r="303" spans="3:3" x14ac:dyDescent="0.25">
      <c r="C303" s="312"/>
    </row>
    <row r="304" spans="3:3" x14ac:dyDescent="0.25">
      <c r="C304" s="312"/>
    </row>
    <row r="305" spans="3:3" x14ac:dyDescent="0.25">
      <c r="C305" s="312"/>
    </row>
    <row r="306" spans="3:3" x14ac:dyDescent="0.25">
      <c r="C306" s="312"/>
    </row>
    <row r="307" spans="3:3" x14ac:dyDescent="0.25">
      <c r="C307" s="312"/>
    </row>
    <row r="308" spans="3:3" x14ac:dyDescent="0.25">
      <c r="C308" s="312"/>
    </row>
    <row r="309" spans="3:3" x14ac:dyDescent="0.25">
      <c r="C309" s="312"/>
    </row>
    <row r="310" spans="3:3" x14ac:dyDescent="0.25">
      <c r="C310" s="312"/>
    </row>
    <row r="311" spans="3:3" x14ac:dyDescent="0.25">
      <c r="C311" s="312"/>
    </row>
    <row r="312" spans="3:3" x14ac:dyDescent="0.25">
      <c r="C312" s="312"/>
    </row>
    <row r="313" spans="3:3" x14ac:dyDescent="0.25">
      <c r="C313" s="312"/>
    </row>
    <row r="314" spans="3:3" x14ac:dyDescent="0.25">
      <c r="C314" s="312"/>
    </row>
    <row r="315" spans="3:3" x14ac:dyDescent="0.25">
      <c r="C315" s="312"/>
    </row>
    <row r="316" spans="3:3" x14ac:dyDescent="0.25">
      <c r="C316" s="312"/>
    </row>
    <row r="317" spans="3:3" x14ac:dyDescent="0.25">
      <c r="C317" s="312"/>
    </row>
    <row r="318" spans="3:3" x14ac:dyDescent="0.25">
      <c r="C318" s="312"/>
    </row>
    <row r="319" spans="3:3" x14ac:dyDescent="0.25">
      <c r="C319" s="312"/>
    </row>
  </sheetData>
  <sheetProtection password="95B0" sheet="1" objects="1" scenarios="1"/>
  <mergeCells count="53">
    <mergeCell ref="BD130:BF130"/>
    <mergeCell ref="BD154:BF154"/>
    <mergeCell ref="BD176:BF176"/>
    <mergeCell ref="BD175:BF175"/>
    <mergeCell ref="AI96:AK96"/>
    <mergeCell ref="AI130:AK130"/>
    <mergeCell ref="AI154:AK154"/>
    <mergeCell ref="AI176:AK176"/>
    <mergeCell ref="AP176:AR176"/>
    <mergeCell ref="AP68:AR68"/>
    <mergeCell ref="AP96:AR96"/>
    <mergeCell ref="AP130:AR130"/>
    <mergeCell ref="AP154:AR154"/>
    <mergeCell ref="AI175:AK175"/>
    <mergeCell ref="AI68:AK68"/>
    <mergeCell ref="AP175:AR175"/>
    <mergeCell ref="AP3:AR3"/>
    <mergeCell ref="BD3:BF3"/>
    <mergeCell ref="AI24:AK24"/>
    <mergeCell ref="AP24:AR24"/>
    <mergeCell ref="BD24:BF24"/>
    <mergeCell ref="AI3:AK3"/>
    <mergeCell ref="AW3:AY3"/>
    <mergeCell ref="AW24:AY24"/>
    <mergeCell ref="D190:F190"/>
    <mergeCell ref="R3:T3"/>
    <mergeCell ref="V3:X3"/>
    <mergeCell ref="AB3:AD3"/>
    <mergeCell ref="R24:T24"/>
    <mergeCell ref="V24:X24"/>
    <mergeCell ref="AB24:AD24"/>
    <mergeCell ref="R68:T68"/>
    <mergeCell ref="V68:X68"/>
    <mergeCell ref="AB68:AD68"/>
    <mergeCell ref="R154:T154"/>
    <mergeCell ref="V154:X154"/>
    <mergeCell ref="AB154:AD154"/>
    <mergeCell ref="BK176:BM176"/>
    <mergeCell ref="BK154:BM154"/>
    <mergeCell ref="BK175:BM175"/>
    <mergeCell ref="AW176:AY176"/>
    <mergeCell ref="BK3:BM3"/>
    <mergeCell ref="BK24:BM24"/>
    <mergeCell ref="BK68:BM68"/>
    <mergeCell ref="BK96:BM96"/>
    <mergeCell ref="BK130:BM130"/>
    <mergeCell ref="AW68:AY68"/>
    <mergeCell ref="AW96:AY96"/>
    <mergeCell ref="AW130:AY130"/>
    <mergeCell ref="AW154:AY154"/>
    <mergeCell ref="AW175:AY175"/>
    <mergeCell ref="BD68:BF68"/>
    <mergeCell ref="BD96:BF96"/>
  </mergeCells>
  <conditionalFormatting sqref="C229:C287">
    <cfRule type="duplicateValues" dxfId="7" priority="5"/>
  </conditionalFormatting>
  <conditionalFormatting sqref="C18">
    <cfRule type="duplicateValues" dxfId="6" priority="4"/>
  </conditionalFormatting>
  <conditionalFormatting sqref="C320:C1048576 C1:C17 C19:C23 C25:C67 C69:C153 C155:C287">
    <cfRule type="duplicateValues" dxfId="5" priority="6"/>
  </conditionalFormatting>
  <conditionalFormatting sqref="C24">
    <cfRule type="duplicateValues" dxfId="4" priority="3"/>
  </conditionalFormatting>
  <conditionalFormatting sqref="C68">
    <cfRule type="duplicateValues" dxfId="3" priority="2"/>
  </conditionalFormatting>
  <conditionalFormatting sqref="C154">
    <cfRule type="duplicateValues" dxfId="2" priority="1"/>
  </conditionalFormatting>
  <pageMargins left="0.31496062992125984" right="0.31496062992125984" top="0.35433070866141736" bottom="0.35433070866141736" header="0.31496062992125984" footer="0.31496062992125984"/>
  <pageSetup paperSize="8" fitToHeight="4" orientation="landscape" r:id="rId1"/>
  <ignoredErrors>
    <ignoredError sqref="V10:W10 V46:X46 AR76 V56:X56 X47:X55 V66:X66 X58:X65 X57 V68:X69 W67:X67 V76:X76 X70:X75 V85:X85 X77:X84 V92:X97 X86:X91 V103:X103 X98:X102 V107:X107 X104:X106 V115:X115 X108:X114 V128:X131 X116:X127 V140:X140 X132:X139 V142:X142 X141 V146:X146 X143:X145 V149:X149 X147:X148 V153:X155 X150:X152 V161:X161 X156:X160 V172:X172 X162:X171 V174:X177 X173 V189:X189 X178:X188" formula="1"/>
    <ignoredError sqref="AW103:AX10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BN68"/>
  <sheetViews>
    <sheetView showGridLines="0" zoomScale="80" zoomScaleNormal="80" workbookViewId="0">
      <pane xSplit="21" ySplit="4" topLeftCell="V5" activePane="bottomRight" state="frozen"/>
      <selection activeCell="E12" sqref="E12"/>
      <selection pane="topRight" activeCell="E12" sqref="E12"/>
      <selection pane="bottomLeft" activeCell="E12" sqref="E12"/>
      <selection pane="bottomRight" activeCell="B4" sqref="B4"/>
    </sheetView>
  </sheetViews>
  <sheetFormatPr baseColWidth="10" defaultColWidth="9.140625" defaultRowHeight="15" outlineLevelRow="2" outlineLevelCol="2" x14ac:dyDescent="0.25"/>
  <cols>
    <col min="1" max="1" width="4.7109375" customWidth="1"/>
    <col min="2" max="2" width="35" customWidth="1"/>
    <col min="3" max="3" width="7.140625" style="29" customWidth="1"/>
    <col min="4" max="5" width="11.7109375" hidden="1" customWidth="1" outlineLevel="1"/>
    <col min="6" max="6" width="11.7109375" hidden="1" customWidth="1"/>
    <col min="7" max="8" width="1.7109375" hidden="1" customWidth="1"/>
    <col min="9" max="10" width="11.7109375" hidden="1" customWidth="1" outlineLevel="1"/>
    <col min="11" max="11" width="11.7109375" hidden="1" customWidth="1"/>
    <col min="12" max="13" width="1.7109375" hidden="1" customWidth="1"/>
    <col min="14" max="15" width="11.42578125" hidden="1" customWidth="1" outlineLevel="1"/>
    <col min="16" max="16" width="11.7109375" hidden="1" customWidth="1"/>
    <col min="17" max="17" width="1.7109375" hidden="1" customWidth="1" outlineLevel="1"/>
    <col min="18" max="20" width="10.28515625" hidden="1" customWidth="1" outlineLevel="2"/>
    <col min="21" max="21" width="1.7109375" hidden="1" customWidth="1" outlineLevel="2" collapsed="1"/>
    <col min="22" max="23" width="10.28515625" customWidth="1" outlineLevel="2"/>
    <col min="24" max="24" width="10.28515625" customWidth="1" outlineLevel="1"/>
    <col min="25" max="25" width="1.7109375" customWidth="1" outlineLevel="1"/>
    <col min="26" max="26" width="8.5703125" hidden="1" customWidth="1" outlineLevel="1"/>
    <col min="27" max="27" width="1.7109375" hidden="1" customWidth="1"/>
    <col min="28" max="29" width="10.28515625" hidden="1" customWidth="1"/>
    <col min="30" max="30" width="10.28515625" style="113" hidden="1" customWidth="1"/>
    <col min="31" max="31" width="1.85546875" style="98" hidden="1" customWidth="1"/>
    <col min="32" max="32" width="8.5703125" style="98" hidden="1" customWidth="1"/>
    <col min="33" max="33" width="40.140625" hidden="1" customWidth="1" outlineLevel="1"/>
    <col min="34" max="34" width="1.7109375" hidden="1" customWidth="1"/>
    <col min="35" max="37" width="10.28515625" customWidth="1" outlineLevel="1"/>
    <col min="38" max="38" width="1.7109375" customWidth="1" outlineLevel="1"/>
    <col min="39" max="39" width="8.5703125" hidden="1" customWidth="1" outlineLevel="1"/>
    <col min="40" max="40" width="10.28515625" hidden="1" customWidth="1" outlineLevel="1"/>
    <col min="41" max="41" width="1.7109375" hidden="1" customWidth="1"/>
    <col min="42" max="44" width="10.28515625" customWidth="1" outlineLevel="1"/>
    <col min="45" max="45" width="1.7109375" customWidth="1" outlineLevel="1"/>
    <col min="46" max="46" width="5.42578125" hidden="1" customWidth="1" outlineLevel="1"/>
    <col min="47" max="47" width="65.140625" hidden="1" customWidth="1" outlineLevel="1"/>
    <col min="48" max="48" width="1.7109375" hidden="1" customWidth="1"/>
    <col min="49" max="51" width="10.28515625" customWidth="1" outlineLevel="1"/>
    <col min="52" max="52" width="1.7109375" customWidth="1" outlineLevel="1"/>
    <col min="53" max="54" width="10.28515625" hidden="1" customWidth="1" outlineLevel="1"/>
    <col min="55" max="55" width="1.5703125" hidden="1" customWidth="1"/>
    <col min="56" max="59" width="10.28515625" hidden="1" customWidth="1" outlineLevel="1"/>
    <col min="60" max="60" width="1.5703125" hidden="1" customWidth="1" outlineLevel="1"/>
    <col min="61" max="61" width="10.28515625" hidden="1" customWidth="1" outlineLevel="1"/>
    <col min="62" max="62" width="1.7109375" hidden="1" customWidth="1" collapsed="1"/>
    <col min="63" max="65" width="10.28515625" customWidth="1" outlineLevel="1"/>
    <col min="66" max="66" width="1.7109375" customWidth="1" outlineLevel="1"/>
  </cols>
  <sheetData>
    <row r="1" spans="1:66" ht="18.75" x14ac:dyDescent="0.25">
      <c r="B1" s="30" t="s">
        <v>6</v>
      </c>
      <c r="C1" s="314"/>
      <c r="D1" s="58"/>
      <c r="E1" s="58"/>
      <c r="F1" s="58"/>
      <c r="G1" s="32"/>
      <c r="H1" s="32"/>
      <c r="I1" s="58"/>
      <c r="J1" s="58"/>
      <c r="K1" s="58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7"/>
      <c r="AE1" s="96"/>
      <c r="AF1" s="96"/>
      <c r="AG1" s="31"/>
      <c r="AH1" s="32"/>
    </row>
    <row r="2" spans="1:66" x14ac:dyDescent="0.25">
      <c r="B2" s="59"/>
      <c r="C2" s="314"/>
      <c r="D2" s="58"/>
      <c r="E2" s="58"/>
      <c r="F2" s="58"/>
      <c r="G2" s="32"/>
      <c r="H2" s="32"/>
      <c r="I2" s="58"/>
      <c r="J2" s="58"/>
      <c r="K2" s="58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7"/>
      <c r="AE2" s="96"/>
      <c r="AF2" s="96"/>
      <c r="AG2" s="31"/>
      <c r="AH2" s="32"/>
    </row>
    <row r="3" spans="1:66" ht="18.75" x14ac:dyDescent="0.25">
      <c r="B3" s="390" t="s">
        <v>6</v>
      </c>
      <c r="C3" s="44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612" t="s">
        <v>387</v>
      </c>
      <c r="S3" s="612"/>
      <c r="T3" s="612"/>
      <c r="U3" s="57"/>
      <c r="V3" s="613" t="s">
        <v>386</v>
      </c>
      <c r="W3" s="613"/>
      <c r="X3" s="613"/>
      <c r="Y3" s="109"/>
      <c r="Z3" s="110" t="s">
        <v>391</v>
      </c>
      <c r="AA3" s="57"/>
      <c r="AB3" s="614" t="s">
        <v>385</v>
      </c>
      <c r="AC3" s="614"/>
      <c r="AD3" s="614"/>
      <c r="AE3" s="109"/>
      <c r="AF3" s="110" t="s">
        <v>391</v>
      </c>
      <c r="AG3" s="57"/>
      <c r="AH3" s="57"/>
      <c r="AI3" s="589" t="s">
        <v>439</v>
      </c>
      <c r="AJ3" s="589"/>
      <c r="AK3" s="589"/>
      <c r="AL3" s="8"/>
      <c r="AM3" s="8"/>
      <c r="AN3" s="8" t="s">
        <v>440</v>
      </c>
      <c r="AO3" s="8"/>
      <c r="AP3" s="591" t="s">
        <v>441</v>
      </c>
      <c r="AQ3" s="591"/>
      <c r="AR3" s="591"/>
      <c r="AS3" s="223"/>
      <c r="AT3" s="8"/>
      <c r="AU3" s="8" t="s">
        <v>13</v>
      </c>
      <c r="AV3" s="8"/>
      <c r="AW3" s="592" t="s">
        <v>598</v>
      </c>
      <c r="AX3" s="592"/>
      <c r="AY3" s="592"/>
      <c r="AZ3" s="8"/>
      <c r="BA3" s="8"/>
      <c r="BB3" s="8" t="s">
        <v>13</v>
      </c>
      <c r="BC3" s="8"/>
      <c r="BD3" s="590" t="e">
        <f>"Situation 2022 : "&amp;ROUND((-SUM(#REF!)+SUM(#REF!))/1000,3)&amp;" k€"</f>
        <v>#REF!</v>
      </c>
      <c r="BE3" s="590"/>
      <c r="BF3" s="590"/>
      <c r="BG3" s="8"/>
      <c r="BK3" s="585" t="s">
        <v>599</v>
      </c>
      <c r="BL3" s="585"/>
      <c r="BM3" s="585"/>
      <c r="BN3" s="468"/>
    </row>
    <row r="4" spans="1:66" ht="45" x14ac:dyDescent="0.25">
      <c r="B4" s="383" t="s">
        <v>1</v>
      </c>
      <c r="C4" s="384"/>
      <c r="D4" s="106" t="s">
        <v>8</v>
      </c>
      <c r="E4" s="106" t="s">
        <v>9</v>
      </c>
      <c r="F4" s="99" t="s">
        <v>10</v>
      </c>
      <c r="G4" s="32"/>
      <c r="H4" s="32"/>
      <c r="I4" s="106" t="s">
        <v>8</v>
      </c>
      <c r="J4" s="106" t="s">
        <v>9</v>
      </c>
      <c r="K4" s="99" t="s">
        <v>2</v>
      </c>
      <c r="L4" s="32"/>
      <c r="M4" s="32"/>
      <c r="N4" s="105" t="s">
        <v>8</v>
      </c>
      <c r="O4" s="105" t="s">
        <v>9</v>
      </c>
      <c r="P4" s="99" t="s">
        <v>3</v>
      </c>
      <c r="Q4" s="61"/>
      <c r="R4" s="134" t="s">
        <v>8</v>
      </c>
      <c r="S4" s="134" t="s">
        <v>9</v>
      </c>
      <c r="T4" s="87" t="s">
        <v>11</v>
      </c>
      <c r="U4" s="32"/>
      <c r="V4" s="451" t="s">
        <v>8</v>
      </c>
      <c r="W4" s="451" t="s">
        <v>9</v>
      </c>
      <c r="X4" s="405" t="s">
        <v>12</v>
      </c>
      <c r="Y4" s="28"/>
      <c r="Z4" s="111" t="s">
        <v>430</v>
      </c>
      <c r="AA4" s="32"/>
      <c r="AB4" s="457" t="s">
        <v>8</v>
      </c>
      <c r="AC4" s="457" t="s">
        <v>9</v>
      </c>
      <c r="AD4" s="458" t="s">
        <v>64</v>
      </c>
      <c r="AE4" s="97"/>
      <c r="AF4" s="114"/>
      <c r="AG4" s="71" t="s">
        <v>261</v>
      </c>
      <c r="AH4" s="32"/>
      <c r="AI4" s="147" t="s">
        <v>8</v>
      </c>
      <c r="AJ4" s="147" t="s">
        <v>9</v>
      </c>
      <c r="AK4" s="147" t="s">
        <v>64</v>
      </c>
      <c r="AL4" s="9"/>
      <c r="AM4" s="124" t="s">
        <v>422</v>
      </c>
      <c r="AN4" s="219"/>
      <c r="AO4" s="219"/>
      <c r="AP4" s="337" t="s">
        <v>8</v>
      </c>
      <c r="AQ4" s="337" t="s">
        <v>9</v>
      </c>
      <c r="AR4" s="337" t="s">
        <v>64</v>
      </c>
      <c r="AS4" s="224"/>
      <c r="AT4" s="124" t="s">
        <v>422</v>
      </c>
      <c r="AU4" s="219"/>
      <c r="AV4" s="219"/>
      <c r="AW4" s="135" t="s">
        <v>8</v>
      </c>
      <c r="AX4" s="135" t="s">
        <v>9</v>
      </c>
      <c r="AY4" s="135" t="s">
        <v>64</v>
      </c>
      <c r="AZ4" s="219"/>
      <c r="BA4" s="124" t="s">
        <v>422</v>
      </c>
      <c r="BB4" s="219"/>
      <c r="BC4" s="219"/>
      <c r="BD4" s="220" t="s">
        <v>8</v>
      </c>
      <c r="BE4" s="220" t="s">
        <v>9</v>
      </c>
      <c r="BF4" s="220" t="s">
        <v>64</v>
      </c>
      <c r="BG4" s="220" t="s">
        <v>442</v>
      </c>
      <c r="BK4" s="343" t="s">
        <v>8</v>
      </c>
      <c r="BL4" s="343" t="s">
        <v>9</v>
      </c>
      <c r="BM4" s="343" t="s">
        <v>64</v>
      </c>
      <c r="BN4" s="469"/>
    </row>
    <row r="5" spans="1:66" outlineLevel="1" x14ac:dyDescent="0.25">
      <c r="A5">
        <v>1</v>
      </c>
      <c r="B5" s="402" t="s">
        <v>262</v>
      </c>
      <c r="C5" s="403" t="s">
        <v>354</v>
      </c>
      <c r="D5" s="47">
        <v>0.3</v>
      </c>
      <c r="E5" s="47"/>
      <c r="F5" s="47">
        <f t="shared" ref="F5:F15" si="0">SUM(D5:E5)</f>
        <v>0.3</v>
      </c>
      <c r="G5" s="32"/>
      <c r="H5" s="32"/>
      <c r="I5" s="47">
        <v>0</v>
      </c>
      <c r="J5" s="47">
        <v>0</v>
      </c>
      <c r="K5" s="47">
        <f t="shared" ref="K5:K15" si="1">SUM(I5:J5)</f>
        <v>0</v>
      </c>
      <c r="L5" s="32"/>
      <c r="M5" s="32"/>
      <c r="N5" s="47" t="e">
        <f>-SUMIF(#REF!,$C5,#REF!)/1000</f>
        <v>#REF!</v>
      </c>
      <c r="O5" s="47" t="e">
        <f>SUMIF(#REF!,$C5,#REF!)/1000</f>
        <v>#REF!</v>
      </c>
      <c r="P5" s="47" t="e">
        <f>N5+O5</f>
        <v>#REF!</v>
      </c>
      <c r="Q5" s="47"/>
      <c r="R5" s="184">
        <v>0</v>
      </c>
      <c r="S5" s="184">
        <v>0</v>
      </c>
      <c r="T5" s="184">
        <f>R5+S5</f>
        <v>0</v>
      </c>
      <c r="U5" s="32"/>
      <c r="V5" s="452">
        <v>0</v>
      </c>
      <c r="W5" s="452">
        <v>0</v>
      </c>
      <c r="X5" s="452">
        <f>V5+W5</f>
        <v>0</v>
      </c>
      <c r="Y5" s="47"/>
      <c r="Z5" s="47"/>
      <c r="AA5" s="32"/>
      <c r="AB5" s="459">
        <v>-1</v>
      </c>
      <c r="AC5" s="459">
        <v>0</v>
      </c>
      <c r="AD5" s="459">
        <f>AB5+AC5</f>
        <v>-1</v>
      </c>
      <c r="AE5" s="190"/>
      <c r="AF5" s="190"/>
      <c r="AG5" s="47"/>
      <c r="AH5" s="32"/>
      <c r="AI5" s="163">
        <v>0</v>
      </c>
      <c r="AJ5" s="163">
        <v>0</v>
      </c>
      <c r="AK5" s="163">
        <v>0</v>
      </c>
      <c r="AL5" s="20"/>
      <c r="AM5" s="20"/>
      <c r="AN5" s="20"/>
      <c r="AO5" s="20"/>
      <c r="AP5" s="338">
        <v>-1</v>
      </c>
      <c r="AQ5" s="338"/>
      <c r="AR5" s="338">
        <f>AP5+AQ5</f>
        <v>-1</v>
      </c>
      <c r="AS5" s="225"/>
      <c r="AT5" s="20"/>
      <c r="AU5" s="20"/>
      <c r="AV5" s="20"/>
      <c r="AW5" s="331">
        <v>0</v>
      </c>
      <c r="AX5" s="331">
        <v>0</v>
      </c>
      <c r="AY5" s="331">
        <f>AX5+AW5</f>
        <v>0</v>
      </c>
      <c r="AZ5" s="20"/>
      <c r="BA5" s="20"/>
      <c r="BB5" s="20"/>
      <c r="BC5" s="20"/>
      <c r="BD5" s="221" t="e">
        <f>-SUMIF(#REF!,Instances!$C5,#REF!)/1000</f>
        <v>#REF!</v>
      </c>
      <c r="BE5" s="221" t="e">
        <f>SUMIF(#REF!,Instances!$C5,#REF!)/1000</f>
        <v>#REF!</v>
      </c>
      <c r="BF5" s="221" t="e">
        <f t="shared" ref="BF5:BF6" si="2">BE5+BD5</f>
        <v>#REF!</v>
      </c>
      <c r="BG5" s="221" t="e">
        <f>AR5-BF5</f>
        <v>#REF!</v>
      </c>
      <c r="BK5" s="344">
        <v>-1.5</v>
      </c>
      <c r="BL5" s="344"/>
      <c r="BM5" s="344">
        <f>BK5+BL5</f>
        <v>-1.5</v>
      </c>
      <c r="BN5" s="470"/>
    </row>
    <row r="6" spans="1:66" outlineLevel="1" x14ac:dyDescent="0.25">
      <c r="A6">
        <v>2</v>
      </c>
      <c r="B6" s="402" t="s">
        <v>263</v>
      </c>
      <c r="C6" s="403" t="s">
        <v>355</v>
      </c>
      <c r="D6" s="47">
        <v>-0.98699999999999999</v>
      </c>
      <c r="E6" s="47">
        <v>6.0000000000000001E-3</v>
      </c>
      <c r="F6" s="47">
        <f t="shared" si="0"/>
        <v>-0.98099999999999998</v>
      </c>
      <c r="G6" s="32"/>
      <c r="H6" s="32"/>
      <c r="I6" s="47">
        <v>-0.8</v>
      </c>
      <c r="J6" s="47">
        <v>0</v>
      </c>
      <c r="K6" s="47">
        <f t="shared" si="1"/>
        <v>-0.8</v>
      </c>
      <c r="L6" s="32"/>
      <c r="M6" s="32"/>
      <c r="N6" s="47" t="e">
        <f>-SUMIF(#REF!,$C6,#REF!)/1000</f>
        <v>#REF!</v>
      </c>
      <c r="O6" s="47" t="e">
        <f>SUMIF(#REF!,$C6,#REF!)/1000</f>
        <v>#REF!</v>
      </c>
      <c r="P6" s="47" t="e">
        <f>N6+O6</f>
        <v>#REF!</v>
      </c>
      <c r="Q6" s="47"/>
      <c r="R6" s="185">
        <v>0</v>
      </c>
      <c r="S6" s="185">
        <v>0</v>
      </c>
      <c r="T6" s="185">
        <f>R6+S6</f>
        <v>0</v>
      </c>
      <c r="U6" s="32"/>
      <c r="V6" s="453">
        <v>0</v>
      </c>
      <c r="W6" s="453">
        <v>0</v>
      </c>
      <c r="X6" s="453">
        <f>V6+W6</f>
        <v>0</v>
      </c>
      <c r="Y6" s="47"/>
      <c r="Z6" s="47"/>
      <c r="AA6" s="32"/>
      <c r="AB6" s="460">
        <v>0</v>
      </c>
      <c r="AC6" s="460">
        <v>0</v>
      </c>
      <c r="AD6" s="460">
        <f>AB6+AC6</f>
        <v>0</v>
      </c>
      <c r="AE6" s="190"/>
      <c r="AF6" s="190"/>
      <c r="AG6" s="47"/>
      <c r="AH6" s="32"/>
      <c r="AI6" s="148">
        <v>0</v>
      </c>
      <c r="AJ6" s="148">
        <v>0</v>
      </c>
      <c r="AK6" s="148">
        <v>0</v>
      </c>
      <c r="AL6" s="20"/>
      <c r="AM6" s="20"/>
      <c r="AN6" s="20"/>
      <c r="AO6" s="20"/>
      <c r="AP6" s="339"/>
      <c r="AQ6" s="339"/>
      <c r="AR6" s="339">
        <f>AP6+AQ6</f>
        <v>0</v>
      </c>
      <c r="AS6" s="225"/>
      <c r="AT6" s="20"/>
      <c r="AU6" s="20"/>
      <c r="AV6" s="20"/>
      <c r="AW6" s="332">
        <v>0</v>
      </c>
      <c r="AX6" s="332">
        <v>7.6E-3</v>
      </c>
      <c r="AY6" s="332">
        <f t="shared" ref="AY6:AY35" si="3">AX6+AW6</f>
        <v>7.6E-3</v>
      </c>
      <c r="AZ6" s="20"/>
      <c r="BA6" s="20"/>
      <c r="BB6" s="20"/>
      <c r="BC6" s="20"/>
      <c r="BD6" s="221" t="e">
        <f>-SUMIF(#REF!,Instances!$C6,#REF!)/1000</f>
        <v>#REF!</v>
      </c>
      <c r="BE6" s="221" t="e">
        <f>SUMIF(#REF!,Instances!$C6,#REF!)/1000</f>
        <v>#REF!</v>
      </c>
      <c r="BF6" s="221" t="e">
        <f t="shared" si="2"/>
        <v>#REF!</v>
      </c>
      <c r="BG6" s="221" t="e">
        <f t="shared" ref="BG6:BG35" si="4">AR6-BF6</f>
        <v>#REF!</v>
      </c>
      <c r="BK6" s="345"/>
      <c r="BL6" s="345"/>
      <c r="BM6" s="345">
        <f>BK6+BL6</f>
        <v>0</v>
      </c>
      <c r="BN6" s="470"/>
    </row>
    <row r="7" spans="1:66" outlineLevel="1" x14ac:dyDescent="0.25">
      <c r="A7">
        <v>3</v>
      </c>
      <c r="B7" s="402" t="s">
        <v>264</v>
      </c>
      <c r="C7" s="403" t="s">
        <v>609</v>
      </c>
      <c r="D7" s="47">
        <v>-1.3</v>
      </c>
      <c r="E7" s="47">
        <v>0.1</v>
      </c>
      <c r="F7" s="47">
        <f t="shared" si="0"/>
        <v>-1.2</v>
      </c>
      <c r="G7" s="32"/>
      <c r="H7" s="32"/>
      <c r="I7" s="47">
        <v>-2.4</v>
      </c>
      <c r="J7" s="47">
        <v>0.48</v>
      </c>
      <c r="K7" s="47">
        <f t="shared" si="1"/>
        <v>-1.92</v>
      </c>
      <c r="L7" s="32"/>
      <c r="M7" s="32"/>
      <c r="N7" s="47" t="e">
        <f>-SUMIF(#REF!,$C7,#REF!)/1000</f>
        <v>#REF!</v>
      </c>
      <c r="O7" s="47" t="e">
        <f>SUMIF(#REF!,$C7,#REF!)/1000</f>
        <v>#REF!</v>
      </c>
      <c r="P7" s="47" t="e">
        <f>N7+O7</f>
        <v>#REF!</v>
      </c>
      <c r="Q7" s="47"/>
      <c r="R7" s="185">
        <v>-3</v>
      </c>
      <c r="S7" s="185">
        <v>0.5</v>
      </c>
      <c r="T7" s="185">
        <f>R7+S7</f>
        <v>-2.5</v>
      </c>
      <c r="U7" s="32"/>
      <c r="V7" s="453">
        <v>0</v>
      </c>
      <c r="W7" s="453">
        <v>0</v>
      </c>
      <c r="X7" s="453">
        <f>V7+W7</f>
        <v>0</v>
      </c>
      <c r="Y7" s="47"/>
      <c r="Z7" s="47"/>
      <c r="AA7" s="32"/>
      <c r="AB7" s="460">
        <v>0</v>
      </c>
      <c r="AC7" s="460">
        <v>0</v>
      </c>
      <c r="AD7" s="460">
        <f>AB7+AC7</f>
        <v>0</v>
      </c>
      <c r="AE7" s="190"/>
      <c r="AF7" s="190"/>
      <c r="AG7" s="47" t="s">
        <v>265</v>
      </c>
      <c r="AH7" s="32"/>
      <c r="AI7" s="148">
        <v>0</v>
      </c>
      <c r="AJ7" s="148">
        <v>0</v>
      </c>
      <c r="AK7" s="148">
        <v>0</v>
      </c>
      <c r="AL7" s="20"/>
      <c r="AM7" s="20"/>
      <c r="AN7" s="20"/>
      <c r="AO7" s="20"/>
      <c r="AP7" s="339"/>
      <c r="AQ7" s="339"/>
      <c r="AR7" s="339">
        <f t="shared" ref="AR7:AR35" si="5">AP7+AQ7</f>
        <v>0</v>
      </c>
      <c r="AS7" s="225"/>
      <c r="AT7" s="225"/>
      <c r="AU7" s="20"/>
      <c r="AV7" s="20"/>
      <c r="AW7" s="332">
        <v>0</v>
      </c>
      <c r="AX7" s="332">
        <v>0</v>
      </c>
      <c r="AY7" s="332">
        <f t="shared" si="3"/>
        <v>0</v>
      </c>
      <c r="AZ7" s="20"/>
      <c r="BA7" s="20"/>
      <c r="BB7" s="20"/>
      <c r="BC7" s="20"/>
      <c r="BD7" s="221" t="e">
        <f>-SUMIF(#REF!,Instances!$C7,#REF!)/1000</f>
        <v>#REF!</v>
      </c>
      <c r="BE7" s="221" t="e">
        <f>SUMIF(#REF!,Instances!$C7,#REF!)/1000</f>
        <v>#REF!</v>
      </c>
      <c r="BF7" s="221" t="e">
        <f t="shared" ref="BF7:BF35" si="6">BE7+BD7</f>
        <v>#REF!</v>
      </c>
      <c r="BG7" s="221" t="e">
        <f t="shared" si="4"/>
        <v>#REF!</v>
      </c>
      <c r="BK7" s="345"/>
      <c r="BL7" s="345"/>
      <c r="BM7" s="345">
        <f t="shared" ref="BM7:BM13" si="7">BK7+BL7</f>
        <v>0</v>
      </c>
      <c r="BN7" s="470"/>
    </row>
    <row r="8" spans="1:66" outlineLevel="1" x14ac:dyDescent="0.25">
      <c r="A8">
        <v>4</v>
      </c>
      <c r="B8" s="402" t="s">
        <v>266</v>
      </c>
      <c r="C8" s="403" t="s">
        <v>356</v>
      </c>
      <c r="D8" s="47">
        <v>-1.6</v>
      </c>
      <c r="E8" s="47">
        <v>0.22900000000000001</v>
      </c>
      <c r="F8" s="47">
        <f t="shared" si="0"/>
        <v>-1.371</v>
      </c>
      <c r="G8" s="32"/>
      <c r="H8" s="32"/>
      <c r="I8" s="47">
        <v>-0.8</v>
      </c>
      <c r="J8" s="47">
        <v>0.37</v>
      </c>
      <c r="K8" s="47">
        <f t="shared" si="1"/>
        <v>-0.43000000000000005</v>
      </c>
      <c r="L8" s="32"/>
      <c r="M8" s="32"/>
      <c r="N8" s="47" t="e">
        <f>-SUMIF(#REF!,$C8,#REF!)/1000</f>
        <v>#REF!</v>
      </c>
      <c r="O8" s="47" t="e">
        <f>SUMIF(#REF!,$C8,#REF!)/1000</f>
        <v>#REF!</v>
      </c>
      <c r="P8" s="47" t="e">
        <f>N8+O8</f>
        <v>#REF!</v>
      </c>
      <c r="Q8" s="47"/>
      <c r="R8" s="185">
        <v>0</v>
      </c>
      <c r="S8" s="185">
        <v>0</v>
      </c>
      <c r="T8" s="185">
        <f>R8+S8</f>
        <v>0</v>
      </c>
      <c r="U8" s="32"/>
      <c r="V8" s="453">
        <v>0</v>
      </c>
      <c r="W8" s="453">
        <v>0</v>
      </c>
      <c r="X8" s="453">
        <f>V8+W8</f>
        <v>0</v>
      </c>
      <c r="Y8" s="47"/>
      <c r="Z8" s="47"/>
      <c r="AA8" s="32"/>
      <c r="AB8" s="460">
        <v>0</v>
      </c>
      <c r="AC8" s="460">
        <v>0</v>
      </c>
      <c r="AD8" s="460">
        <f>AB8+AC8</f>
        <v>0</v>
      </c>
      <c r="AE8" s="190"/>
      <c r="AF8" s="190"/>
      <c r="AG8" s="47"/>
      <c r="AH8" s="32"/>
      <c r="AI8" s="148">
        <v>0</v>
      </c>
      <c r="AJ8" s="148">
        <v>0</v>
      </c>
      <c r="AK8" s="148">
        <v>0</v>
      </c>
      <c r="AL8" s="20"/>
      <c r="AM8" s="20"/>
      <c r="AN8" s="20"/>
      <c r="AO8" s="20"/>
      <c r="AP8" s="339"/>
      <c r="AQ8" s="339"/>
      <c r="AR8" s="339">
        <f t="shared" si="5"/>
        <v>0</v>
      </c>
      <c r="AS8" s="225"/>
      <c r="AT8" s="225"/>
      <c r="AU8" s="20"/>
      <c r="AV8" s="20"/>
      <c r="AW8" s="332">
        <v>0</v>
      </c>
      <c r="AX8" s="332">
        <v>0</v>
      </c>
      <c r="AY8" s="332">
        <f t="shared" si="3"/>
        <v>0</v>
      </c>
      <c r="AZ8" s="20"/>
      <c r="BA8" s="20"/>
      <c r="BB8" s="20"/>
      <c r="BC8" s="20"/>
      <c r="BD8" s="221" t="e">
        <f>-SUMIF(#REF!,Instances!$C8,#REF!)/1000</f>
        <v>#REF!</v>
      </c>
      <c r="BE8" s="221" t="e">
        <f>SUMIF(#REF!,Instances!$C8,#REF!)/1000</f>
        <v>#REF!</v>
      </c>
      <c r="BF8" s="221" t="e">
        <f t="shared" si="6"/>
        <v>#REF!</v>
      </c>
      <c r="BG8" s="221" t="e">
        <f t="shared" si="4"/>
        <v>#REF!</v>
      </c>
      <c r="BK8" s="345"/>
      <c r="BL8" s="345"/>
      <c r="BM8" s="345">
        <f t="shared" si="7"/>
        <v>0</v>
      </c>
      <c r="BN8" s="470"/>
    </row>
    <row r="9" spans="1:66" outlineLevel="1" x14ac:dyDescent="0.25">
      <c r="A9">
        <v>5</v>
      </c>
      <c r="B9" s="402" t="s">
        <v>267</v>
      </c>
      <c r="C9" s="386" t="s">
        <v>353</v>
      </c>
      <c r="D9" s="47">
        <v>-12.129</v>
      </c>
      <c r="E9" s="47">
        <v>5.3970000000000002</v>
      </c>
      <c r="F9" s="47">
        <f t="shared" si="0"/>
        <v>-6.7319999999999993</v>
      </c>
      <c r="G9" s="32"/>
      <c r="H9" s="32"/>
      <c r="I9" s="47">
        <v>-13.3</v>
      </c>
      <c r="J9" s="47">
        <v>3.65</v>
      </c>
      <c r="K9" s="47">
        <f t="shared" si="1"/>
        <v>-9.65</v>
      </c>
      <c r="L9" s="32"/>
      <c r="M9" s="32"/>
      <c r="N9" s="47" t="e">
        <f>-SUMIF(#REF!,$C9,#REF!)/1000</f>
        <v>#REF!</v>
      </c>
      <c r="O9" s="47" t="e">
        <f>SUMIF(#REF!,$C9,#REF!)/1000</f>
        <v>#REF!</v>
      </c>
      <c r="P9" s="47" t="e">
        <f>N9+O9</f>
        <v>#REF!</v>
      </c>
      <c r="Q9" s="47"/>
      <c r="R9" s="186">
        <v>-8</v>
      </c>
      <c r="S9" s="186">
        <v>1</v>
      </c>
      <c r="T9" s="185">
        <f>R9+S9</f>
        <v>-7</v>
      </c>
      <c r="U9" s="32"/>
      <c r="V9" s="453">
        <v>-2.9153800000000003</v>
      </c>
      <c r="W9" s="453">
        <v>2.1313899999999997</v>
      </c>
      <c r="X9" s="453">
        <f>V9+W9</f>
        <v>-0.78399000000000063</v>
      </c>
      <c r="Y9" s="47"/>
      <c r="Z9" s="47"/>
      <c r="AA9" s="32"/>
      <c r="AB9" s="460">
        <v>-3</v>
      </c>
      <c r="AC9" s="460">
        <v>0</v>
      </c>
      <c r="AD9" s="461">
        <f>AB9+AC9</f>
        <v>-3</v>
      </c>
      <c r="AE9" s="191"/>
      <c r="AF9" s="191"/>
      <c r="AG9" s="128" t="s">
        <v>438</v>
      </c>
      <c r="AH9" s="32"/>
      <c r="AI9" s="148">
        <v>-5.5046299999999988</v>
      </c>
      <c r="AJ9" s="148">
        <v>2.79542</v>
      </c>
      <c r="AK9" s="148">
        <v>-2.7092099999999988</v>
      </c>
      <c r="AL9" s="20"/>
      <c r="AM9" s="20"/>
      <c r="AN9" s="20"/>
      <c r="AO9" s="20"/>
      <c r="AP9" s="339">
        <v>-3</v>
      </c>
      <c r="AQ9" s="339"/>
      <c r="AR9" s="339">
        <f t="shared" si="5"/>
        <v>-3</v>
      </c>
      <c r="AS9" s="225"/>
      <c r="AT9" s="225"/>
      <c r="AU9" s="20"/>
      <c r="AV9" s="20"/>
      <c r="AW9" s="332">
        <v>-3.2702499999999999</v>
      </c>
      <c r="AX9" s="332">
        <v>1.7319500000000001</v>
      </c>
      <c r="AY9" s="332">
        <f t="shared" si="3"/>
        <v>-1.5382999999999998</v>
      </c>
      <c r="AZ9" s="20"/>
      <c r="BA9" s="20"/>
      <c r="BB9" s="20"/>
      <c r="BC9" s="20"/>
      <c r="BD9" s="221" t="e">
        <f>-SUMIF(#REF!,Instances!$C9,#REF!)/1000</f>
        <v>#REF!</v>
      </c>
      <c r="BE9" s="221" t="e">
        <f>SUMIF(#REF!,Instances!$C9,#REF!)/1000</f>
        <v>#REF!</v>
      </c>
      <c r="BF9" s="221" t="e">
        <f t="shared" si="6"/>
        <v>#REF!</v>
      </c>
      <c r="BG9" s="221" t="e">
        <f t="shared" si="4"/>
        <v>#REF!</v>
      </c>
      <c r="BK9" s="345">
        <v>-3</v>
      </c>
      <c r="BL9" s="345">
        <v>1</v>
      </c>
      <c r="BM9" s="345">
        <f t="shared" si="7"/>
        <v>-2</v>
      </c>
      <c r="BN9" s="470"/>
    </row>
    <row r="10" spans="1:66" x14ac:dyDescent="0.25">
      <c r="A10">
        <v>6</v>
      </c>
      <c r="B10" s="448" t="s">
        <v>268</v>
      </c>
      <c r="C10" s="450"/>
      <c r="D10" s="64">
        <f>SUM(D5:D9)</f>
        <v>-15.715999999999999</v>
      </c>
      <c r="E10" s="64">
        <f>SUM(E5:E9)</f>
        <v>5.7320000000000002</v>
      </c>
      <c r="F10" s="41">
        <f t="shared" si="0"/>
        <v>-9.9839999999999982</v>
      </c>
      <c r="G10" s="32"/>
      <c r="H10" s="32"/>
      <c r="I10" s="64">
        <f>SUM(I5:I9)</f>
        <v>-17.3</v>
      </c>
      <c r="J10" s="64">
        <f>SUM(J5:J9)</f>
        <v>4.5</v>
      </c>
      <c r="K10" s="41">
        <f t="shared" si="1"/>
        <v>-12.8</v>
      </c>
      <c r="L10" s="32"/>
      <c r="M10" s="32"/>
      <c r="N10" s="41" t="e">
        <f>SUM(N5:N9)</f>
        <v>#REF!</v>
      </c>
      <c r="O10" s="41" t="e">
        <f>SUM(O5:O9)</f>
        <v>#REF!</v>
      </c>
      <c r="P10" s="41" t="e">
        <f>SUM(P5:P9)</f>
        <v>#REF!</v>
      </c>
      <c r="Q10" s="41"/>
      <c r="R10" s="158">
        <f>SUM(R5:R9)</f>
        <v>-11</v>
      </c>
      <c r="S10" s="158">
        <f>SUM(S5:S9)</f>
        <v>1.5</v>
      </c>
      <c r="T10" s="158">
        <f>SUM(T5:T9)</f>
        <v>-9.5</v>
      </c>
      <c r="U10" s="32"/>
      <c r="V10" s="408">
        <f>SUM(V5:V9)</f>
        <v>-2.9153800000000003</v>
      </c>
      <c r="W10" s="408">
        <f>SUM(W5:W9)</f>
        <v>2.1313899999999997</v>
      </c>
      <c r="X10" s="408">
        <f>SUM(X5:X9)</f>
        <v>-0.78399000000000063</v>
      </c>
      <c r="Y10" s="41"/>
      <c r="Z10" s="41">
        <f t="shared" ref="Z10" si="8">SUM(Z5:Z9)</f>
        <v>0</v>
      </c>
      <c r="AA10" s="32"/>
      <c r="AB10" s="462">
        <f>SUM(AB5:AB9)</f>
        <v>-4</v>
      </c>
      <c r="AC10" s="462">
        <f>SUM(AC5:AC9)</f>
        <v>0</v>
      </c>
      <c r="AD10" s="462">
        <f>SUM(AD5:AD9)</f>
        <v>-4</v>
      </c>
      <c r="AE10" s="41"/>
      <c r="AF10" s="80"/>
      <c r="AG10" s="217" t="s">
        <v>269</v>
      </c>
      <c r="AH10" s="65"/>
      <c r="AI10" s="149">
        <f>SUM(AI5:AI9)</f>
        <v>-5.5046299999999988</v>
      </c>
      <c r="AJ10" s="149">
        <f>SUM(AJ5:AJ9)</f>
        <v>2.79542</v>
      </c>
      <c r="AK10" s="149">
        <f>AJ10+AI10</f>
        <v>-2.7092099999999988</v>
      </c>
      <c r="AL10" s="81"/>
      <c r="AM10" s="81"/>
      <c r="AN10" s="81"/>
      <c r="AO10" s="81"/>
      <c r="AP10" s="340">
        <f>SUM(AP5:AP9)</f>
        <v>-4</v>
      </c>
      <c r="AQ10" s="340">
        <f>SUM(AQ5:AQ9)</f>
        <v>0</v>
      </c>
      <c r="AR10" s="340">
        <f t="shared" si="5"/>
        <v>-4</v>
      </c>
      <c r="AS10" s="226"/>
      <c r="AT10" s="225"/>
      <c r="AU10" s="20"/>
      <c r="AV10" s="20"/>
      <c r="AW10" s="333">
        <f>SUM(AW5:AW9)</f>
        <v>-3.2702499999999999</v>
      </c>
      <c r="AX10" s="333">
        <f>SUM(AX5:AX9)</f>
        <v>1.7395500000000002</v>
      </c>
      <c r="AY10" s="333">
        <f t="shared" si="3"/>
        <v>-1.5306999999999997</v>
      </c>
      <c r="AZ10" s="20"/>
      <c r="BA10" s="20"/>
      <c r="BB10" s="20"/>
      <c r="BC10" s="81"/>
      <c r="BD10" s="227" t="e">
        <f>SUM(BD5:BD9)</f>
        <v>#REF!</v>
      </c>
      <c r="BE10" s="227" t="e">
        <f>SUM(BE5:BE9)</f>
        <v>#REF!</v>
      </c>
      <c r="BF10" s="227" t="e">
        <f t="shared" si="6"/>
        <v>#REF!</v>
      </c>
      <c r="BG10" s="221" t="e">
        <f t="shared" si="4"/>
        <v>#REF!</v>
      </c>
      <c r="BK10" s="346">
        <f>SUM(BK5:BK9)</f>
        <v>-4.5</v>
      </c>
      <c r="BL10" s="346">
        <f>SUM(BL5:BL9)</f>
        <v>1</v>
      </c>
      <c r="BM10" s="346">
        <f t="shared" si="7"/>
        <v>-3.5</v>
      </c>
      <c r="BN10" s="471"/>
    </row>
    <row r="11" spans="1:66" outlineLevel="1" x14ac:dyDescent="0.25">
      <c r="A11">
        <v>7</v>
      </c>
      <c r="B11" s="402" t="s">
        <v>270</v>
      </c>
      <c r="C11" s="403" t="s">
        <v>358</v>
      </c>
      <c r="D11" s="47">
        <v>-5.99</v>
      </c>
      <c r="E11" s="47">
        <v>0.44</v>
      </c>
      <c r="F11" s="54">
        <f t="shared" si="0"/>
        <v>-5.55</v>
      </c>
      <c r="G11" s="32"/>
      <c r="H11" s="32"/>
      <c r="I11" s="47">
        <v>-5.65</v>
      </c>
      <c r="J11" s="47">
        <v>0.95</v>
      </c>
      <c r="K11" s="54">
        <f t="shared" si="1"/>
        <v>-4.7</v>
      </c>
      <c r="L11" s="32"/>
      <c r="M11" s="32"/>
      <c r="N11" s="54" t="e">
        <f>-SUMIF(#REF!,$C11,#REF!)/1000</f>
        <v>#REF!</v>
      </c>
      <c r="O11" s="54" t="e">
        <f>SUMIF(#REF!,$C11,#REF!)/1000</f>
        <v>#REF!</v>
      </c>
      <c r="P11" s="54" t="e">
        <f>N11+O11</f>
        <v>#REF!</v>
      </c>
      <c r="Q11" s="54"/>
      <c r="R11" s="187">
        <v>-2</v>
      </c>
      <c r="S11" s="187">
        <v>0</v>
      </c>
      <c r="T11" s="187">
        <f>R11+S11</f>
        <v>-2</v>
      </c>
      <c r="U11" s="32"/>
      <c r="V11" s="454">
        <v>-2.9608699999999999</v>
      </c>
      <c r="W11" s="454">
        <v>0.86839999999999995</v>
      </c>
      <c r="X11" s="454">
        <f>V11+W11</f>
        <v>-2.0924700000000001</v>
      </c>
      <c r="Y11" s="54"/>
      <c r="Z11" s="54"/>
      <c r="AA11" s="32"/>
      <c r="AB11" s="461">
        <v>-3</v>
      </c>
      <c r="AC11" s="461">
        <v>0</v>
      </c>
      <c r="AD11" s="461">
        <f>AB11+AC11</f>
        <v>-3</v>
      </c>
      <c r="AE11" s="191"/>
      <c r="AF11" s="191"/>
      <c r="AG11" s="54"/>
      <c r="AH11" s="32"/>
      <c r="AI11" s="148">
        <v>0</v>
      </c>
      <c r="AJ11" s="148">
        <v>0</v>
      </c>
      <c r="AK11" s="148">
        <v>0</v>
      </c>
      <c r="AL11" s="20"/>
      <c r="AM11" s="20"/>
      <c r="AN11" s="20"/>
      <c r="AO11" s="20"/>
      <c r="AP11" s="339">
        <v>-3</v>
      </c>
      <c r="AQ11" s="339"/>
      <c r="AR11" s="339">
        <f t="shared" si="5"/>
        <v>-3</v>
      </c>
      <c r="AS11" s="225"/>
      <c r="AT11" s="225"/>
      <c r="AU11" s="20"/>
      <c r="AV11" s="20"/>
      <c r="AW11" s="332">
        <v>-5.1618499999999994</v>
      </c>
      <c r="AX11" s="332">
        <v>0.35810000000000003</v>
      </c>
      <c r="AY11" s="332">
        <f t="shared" si="3"/>
        <v>-4.8037499999999991</v>
      </c>
      <c r="AZ11" s="20"/>
      <c r="BA11" s="20"/>
      <c r="BB11" s="20"/>
      <c r="BC11" s="20"/>
      <c r="BD11" s="221" t="e">
        <f>-SUMIF(#REF!,Instances!$C11,#REF!)/1000</f>
        <v>#REF!</v>
      </c>
      <c r="BE11" s="221" t="e">
        <f>SUMIF(#REF!,Instances!$C11,#REF!)/1000</f>
        <v>#REF!</v>
      </c>
      <c r="BF11" s="221" t="e">
        <f t="shared" si="6"/>
        <v>#REF!</v>
      </c>
      <c r="BG11" s="221" t="e">
        <f t="shared" si="4"/>
        <v>#REF!</v>
      </c>
      <c r="BK11" s="345">
        <v>-5</v>
      </c>
      <c r="BL11" s="345"/>
      <c r="BM11" s="345">
        <f t="shared" si="7"/>
        <v>-5</v>
      </c>
      <c r="BN11" s="470"/>
    </row>
    <row r="12" spans="1:66" outlineLevel="1" x14ac:dyDescent="0.25">
      <c r="A12">
        <v>8</v>
      </c>
      <c r="B12" s="402" t="s">
        <v>271</v>
      </c>
      <c r="C12" s="403" t="s">
        <v>359</v>
      </c>
      <c r="D12" s="47">
        <v>-6.66</v>
      </c>
      <c r="E12" s="47">
        <v>1.381</v>
      </c>
      <c r="F12" s="54">
        <f t="shared" si="0"/>
        <v>-5.2789999999999999</v>
      </c>
      <c r="G12" s="32"/>
      <c r="H12" s="32"/>
      <c r="I12" s="47">
        <v>-7.65</v>
      </c>
      <c r="J12" s="47">
        <v>1.65</v>
      </c>
      <c r="K12" s="54">
        <f t="shared" si="1"/>
        <v>-6</v>
      </c>
      <c r="L12" s="32"/>
      <c r="M12" s="32"/>
      <c r="N12" s="54" t="e">
        <f>-SUMIF(#REF!,$C12,#REF!)/1000</f>
        <v>#REF!</v>
      </c>
      <c r="O12" s="54" t="e">
        <f>SUMIF(#REF!,$C12,#REF!)/1000</f>
        <v>#REF!</v>
      </c>
      <c r="P12" s="54" t="e">
        <f>N12+O12</f>
        <v>#REF!</v>
      </c>
      <c r="Q12" s="54"/>
      <c r="R12" s="187">
        <v>-9</v>
      </c>
      <c r="S12" s="187">
        <v>1</v>
      </c>
      <c r="T12" s="187">
        <f>R12+S12</f>
        <v>-8</v>
      </c>
      <c r="U12" s="32"/>
      <c r="V12" s="454">
        <v>-0.3296</v>
      </c>
      <c r="W12" s="454">
        <v>7.4400000000000008E-2</v>
      </c>
      <c r="X12" s="454">
        <f>V12+W12</f>
        <v>-0.25519999999999998</v>
      </c>
      <c r="Y12" s="54"/>
      <c r="Z12" s="54"/>
      <c r="AA12" s="32"/>
      <c r="AB12" s="461"/>
      <c r="AC12" s="461">
        <v>0</v>
      </c>
      <c r="AD12" s="461">
        <f>AB12+AC12</f>
        <v>0</v>
      </c>
      <c r="AE12" s="191"/>
      <c r="AF12" s="191"/>
      <c r="AG12" s="54"/>
      <c r="AH12" s="32"/>
      <c r="AI12" s="148">
        <v>-2.4177700000000004</v>
      </c>
      <c r="AJ12" s="148">
        <v>0.48302</v>
      </c>
      <c r="AK12" s="148">
        <v>-1.9347500000000004</v>
      </c>
      <c r="AL12" s="20"/>
      <c r="AM12" s="20"/>
      <c r="AN12" s="20"/>
      <c r="AO12" s="20"/>
      <c r="AP12" s="339">
        <v>-3</v>
      </c>
      <c r="AQ12" s="339"/>
      <c r="AR12" s="339">
        <f t="shared" si="5"/>
        <v>-3</v>
      </c>
      <c r="AS12" s="225"/>
      <c r="AT12" s="225"/>
      <c r="AU12" s="20"/>
      <c r="AV12" s="20"/>
      <c r="AW12" s="332">
        <v>-2.4554899999999997</v>
      </c>
      <c r="AX12" s="332">
        <v>1.1434000000000002</v>
      </c>
      <c r="AY12" s="332">
        <f t="shared" si="3"/>
        <v>-1.3120899999999995</v>
      </c>
      <c r="AZ12" s="20"/>
      <c r="BA12" s="20"/>
      <c r="BB12" s="20"/>
      <c r="BC12" s="20"/>
      <c r="BD12" s="221" t="e">
        <f>-SUMIF(#REF!,Instances!$C12,#REF!)/1000</f>
        <v>#REF!</v>
      </c>
      <c r="BE12" s="221" t="e">
        <f>SUMIF(#REF!,Instances!$C12,#REF!)/1000</f>
        <v>#REF!</v>
      </c>
      <c r="BF12" s="221" t="e">
        <f t="shared" si="6"/>
        <v>#REF!</v>
      </c>
      <c r="BG12" s="221" t="e">
        <f t="shared" si="4"/>
        <v>#REF!</v>
      </c>
      <c r="BK12" s="345">
        <v>-3</v>
      </c>
      <c r="BL12" s="345"/>
      <c r="BM12" s="345">
        <f t="shared" si="7"/>
        <v>-3</v>
      </c>
      <c r="BN12" s="470"/>
    </row>
    <row r="13" spans="1:66" outlineLevel="1" x14ac:dyDescent="0.25">
      <c r="A13">
        <v>9</v>
      </c>
      <c r="B13" s="402" t="s">
        <v>272</v>
      </c>
      <c r="C13" s="403" t="s">
        <v>360</v>
      </c>
      <c r="D13" s="47">
        <v>-5.42</v>
      </c>
      <c r="E13" s="47">
        <v>0.621</v>
      </c>
      <c r="F13" s="54">
        <f t="shared" si="0"/>
        <v>-4.7989999999999995</v>
      </c>
      <c r="G13" s="32"/>
      <c r="H13" s="32"/>
      <c r="I13" s="47">
        <v>-7.8</v>
      </c>
      <c r="J13" s="47">
        <v>0.8</v>
      </c>
      <c r="K13" s="54">
        <f t="shared" si="1"/>
        <v>-7</v>
      </c>
      <c r="L13" s="32"/>
      <c r="M13" s="32"/>
      <c r="N13" s="54" t="e">
        <f>-SUMIF(#REF!,$C13,#REF!)/1000</f>
        <v>#REF!</v>
      </c>
      <c r="O13" s="54" t="e">
        <f>SUMIF(#REF!,$C13,#REF!)/1000</f>
        <v>#REF!</v>
      </c>
      <c r="P13" s="54" t="e">
        <f>N13+O13</f>
        <v>#REF!</v>
      </c>
      <c r="Q13" s="54"/>
      <c r="R13" s="187">
        <v>-9</v>
      </c>
      <c r="S13" s="187">
        <v>1</v>
      </c>
      <c r="T13" s="187">
        <f>R13+S13</f>
        <v>-8</v>
      </c>
      <c r="U13" s="32"/>
      <c r="V13" s="454">
        <v>0</v>
      </c>
      <c r="W13" s="454">
        <v>0</v>
      </c>
      <c r="X13" s="454">
        <f>V13+W13</f>
        <v>0</v>
      </c>
      <c r="Y13" s="54"/>
      <c r="Z13" s="54"/>
      <c r="AA13" s="32"/>
      <c r="AB13" s="461">
        <v>0</v>
      </c>
      <c r="AC13" s="461">
        <v>0</v>
      </c>
      <c r="AD13" s="461">
        <f>AB13+AC13</f>
        <v>0</v>
      </c>
      <c r="AE13" s="191"/>
      <c r="AF13" s="191"/>
      <c r="AG13" s="54"/>
      <c r="AH13" s="32"/>
      <c r="AI13" s="148">
        <v>0</v>
      </c>
      <c r="AJ13" s="148">
        <v>0</v>
      </c>
      <c r="AK13" s="148">
        <v>0</v>
      </c>
      <c r="AL13" s="20"/>
      <c r="AM13" s="20"/>
      <c r="AN13" s="20"/>
      <c r="AO13" s="20"/>
      <c r="AP13" s="339">
        <v>-3</v>
      </c>
      <c r="AQ13" s="339"/>
      <c r="AR13" s="339">
        <f t="shared" si="5"/>
        <v>-3</v>
      </c>
      <c r="AS13" s="225"/>
      <c r="AT13" s="225"/>
      <c r="AU13" s="20"/>
      <c r="AV13" s="20"/>
      <c r="AW13" s="332">
        <v>0</v>
      </c>
      <c r="AX13" s="332">
        <v>0</v>
      </c>
      <c r="AY13" s="332">
        <f t="shared" si="3"/>
        <v>0</v>
      </c>
      <c r="AZ13" s="20"/>
      <c r="BA13" s="20"/>
      <c r="BB13" s="20"/>
      <c r="BC13" s="20"/>
      <c r="BD13" s="221" t="e">
        <f>-SUMIF(#REF!,Instances!$C13,#REF!)/1000</f>
        <v>#REF!</v>
      </c>
      <c r="BE13" s="221" t="e">
        <f>SUMIF(#REF!,Instances!$C13,#REF!)/1000</f>
        <v>#REF!</v>
      </c>
      <c r="BF13" s="221" t="e">
        <f t="shared" si="6"/>
        <v>#REF!</v>
      </c>
      <c r="BG13" s="221" t="e">
        <f t="shared" si="4"/>
        <v>#REF!</v>
      </c>
      <c r="BK13" s="345"/>
      <c r="BL13" s="345"/>
      <c r="BM13" s="345">
        <f t="shared" si="7"/>
        <v>0</v>
      </c>
      <c r="BN13" s="470"/>
    </row>
    <row r="14" spans="1:66" outlineLevel="1" x14ac:dyDescent="0.25">
      <c r="A14">
        <v>10</v>
      </c>
      <c r="B14" s="402" t="s">
        <v>273</v>
      </c>
      <c r="C14" s="403" t="s">
        <v>361</v>
      </c>
      <c r="D14" s="47">
        <v>-5.0599999999999996</v>
      </c>
      <c r="E14" s="47">
        <v>0.5</v>
      </c>
      <c r="F14" s="54">
        <f t="shared" si="0"/>
        <v>-4.5599999999999996</v>
      </c>
      <c r="G14" s="32"/>
      <c r="H14" s="32"/>
      <c r="I14" s="47">
        <v>-8.9</v>
      </c>
      <c r="J14" s="47">
        <v>1.4</v>
      </c>
      <c r="K14" s="54">
        <f t="shared" si="1"/>
        <v>-7.5</v>
      </c>
      <c r="L14" s="32"/>
      <c r="M14" s="32"/>
      <c r="N14" s="54" t="e">
        <f>-SUMIF(#REF!,$C14,#REF!)/1000</f>
        <v>#REF!</v>
      </c>
      <c r="O14" s="54" t="e">
        <f>SUMIF(#REF!,$C14,#REF!)/1000</f>
        <v>#REF!</v>
      </c>
      <c r="P14" s="54" t="e">
        <f>N14+O14</f>
        <v>#REF!</v>
      </c>
      <c r="Q14" s="54"/>
      <c r="R14" s="187">
        <v>0</v>
      </c>
      <c r="S14" s="187">
        <v>0</v>
      </c>
      <c r="T14" s="187">
        <f>R14+S14</f>
        <v>0</v>
      </c>
      <c r="U14" s="32"/>
      <c r="V14" s="454">
        <v>0</v>
      </c>
      <c r="W14" s="454">
        <v>0</v>
      </c>
      <c r="X14" s="454">
        <f>V14+W14</f>
        <v>0</v>
      </c>
      <c r="Y14" s="54"/>
      <c r="Z14" s="54"/>
      <c r="AA14" s="32"/>
      <c r="AB14" s="461">
        <v>0</v>
      </c>
      <c r="AC14" s="461">
        <v>0</v>
      </c>
      <c r="AD14" s="461">
        <f>AB14+AC14</f>
        <v>0</v>
      </c>
      <c r="AE14" s="191"/>
      <c r="AF14" s="191"/>
      <c r="AG14" s="54"/>
      <c r="AH14" s="32"/>
      <c r="AI14" s="148">
        <v>0</v>
      </c>
      <c r="AJ14" s="148">
        <v>0</v>
      </c>
      <c r="AK14" s="148">
        <v>0</v>
      </c>
      <c r="AL14" s="20"/>
      <c r="AM14" s="20"/>
      <c r="AN14" s="20"/>
      <c r="AO14" s="20"/>
      <c r="AP14" s="339"/>
      <c r="AQ14" s="339"/>
      <c r="AR14" s="339">
        <f>AP14+AQ14</f>
        <v>0</v>
      </c>
      <c r="AS14" s="225"/>
      <c r="AT14" s="225"/>
      <c r="AU14" s="225"/>
      <c r="AV14" s="20"/>
      <c r="AW14" s="332">
        <v>0</v>
      </c>
      <c r="AX14" s="332">
        <v>0</v>
      </c>
      <c r="AY14" s="332">
        <f t="shared" si="3"/>
        <v>0</v>
      </c>
      <c r="AZ14" s="20"/>
      <c r="BA14" s="20"/>
      <c r="BB14" s="20"/>
      <c r="BC14" s="20"/>
      <c r="BD14" s="221" t="e">
        <f>-SUMIF(#REF!,Instances!$C14,#REF!)/1000</f>
        <v>#REF!</v>
      </c>
      <c r="BE14" s="221" t="e">
        <f>SUMIF(#REF!,Instances!$C14,#REF!)/1000</f>
        <v>#REF!</v>
      </c>
      <c r="BF14" s="221" t="e">
        <f t="shared" si="6"/>
        <v>#REF!</v>
      </c>
      <c r="BG14" s="221" t="e">
        <f t="shared" si="4"/>
        <v>#REF!</v>
      </c>
      <c r="BK14" s="345"/>
      <c r="BL14" s="345"/>
      <c r="BM14" s="345">
        <f>BK14+BL14</f>
        <v>0</v>
      </c>
      <c r="BN14" s="470"/>
    </row>
    <row r="15" spans="1:66" outlineLevel="1" x14ac:dyDescent="0.25">
      <c r="A15">
        <v>11</v>
      </c>
      <c r="B15" s="402" t="s">
        <v>274</v>
      </c>
      <c r="C15" s="386" t="s">
        <v>357</v>
      </c>
      <c r="D15" s="47">
        <v>-1.7789999999999999</v>
      </c>
      <c r="E15" s="47">
        <v>0.51400000000000001</v>
      </c>
      <c r="F15" s="54">
        <f t="shared" si="0"/>
        <v>-1.2649999999999999</v>
      </c>
      <c r="G15" s="32"/>
      <c r="H15" s="32"/>
      <c r="I15" s="47">
        <v>-5.6</v>
      </c>
      <c r="J15" s="47">
        <v>1.7</v>
      </c>
      <c r="K15" s="54">
        <f t="shared" si="1"/>
        <v>-3.8999999999999995</v>
      </c>
      <c r="L15" s="32"/>
      <c r="M15" s="32"/>
      <c r="N15" s="54" t="e">
        <f>-SUMIF(#REF!,$C15,#REF!)/1000</f>
        <v>#REF!</v>
      </c>
      <c r="O15" s="54" t="e">
        <f>SUMIF(#REF!,$C15,#REF!)/1000</f>
        <v>#REF!</v>
      </c>
      <c r="P15" s="54" t="e">
        <f>N15+O15</f>
        <v>#REF!</v>
      </c>
      <c r="Q15" s="54"/>
      <c r="R15" s="157">
        <v>-8</v>
      </c>
      <c r="S15" s="157">
        <v>1</v>
      </c>
      <c r="T15" s="187">
        <f>R15+S15</f>
        <v>-7</v>
      </c>
      <c r="U15" s="32"/>
      <c r="V15" s="454">
        <v>-0.34436</v>
      </c>
      <c r="W15" s="454">
        <v>9.1260000000000008E-2</v>
      </c>
      <c r="X15" s="454">
        <f>V15+W15</f>
        <v>-0.25309999999999999</v>
      </c>
      <c r="Y15" s="54"/>
      <c r="Z15" s="54"/>
      <c r="AA15" s="32"/>
      <c r="AB15" s="461">
        <v>-4</v>
      </c>
      <c r="AC15" s="461">
        <v>0</v>
      </c>
      <c r="AD15" s="461">
        <f>AB15+AC15</f>
        <v>-4</v>
      </c>
      <c r="AE15" s="191"/>
      <c r="AF15" s="191"/>
      <c r="AG15" s="129" t="s">
        <v>437</v>
      </c>
      <c r="AH15" s="32"/>
      <c r="AI15" s="148">
        <v>-2.08711</v>
      </c>
      <c r="AJ15" s="148">
        <v>0.71714</v>
      </c>
      <c r="AK15" s="148">
        <v>-1.3699699999999999</v>
      </c>
      <c r="AL15" s="20"/>
      <c r="AM15" s="20"/>
      <c r="AN15" s="20"/>
      <c r="AO15" s="20"/>
      <c r="AP15" s="339">
        <v>-8</v>
      </c>
      <c r="AQ15" s="339">
        <v>1</v>
      </c>
      <c r="AR15" s="339">
        <f>AP15+AQ15</f>
        <v>-7</v>
      </c>
      <c r="AS15" s="225"/>
      <c r="AT15" s="225"/>
      <c r="AU15" s="225"/>
      <c r="AV15" s="20"/>
      <c r="AW15" s="332">
        <v>-0.31031999999999998</v>
      </c>
      <c r="AX15" s="332">
        <v>3.4320000000000003E-2</v>
      </c>
      <c r="AY15" s="332">
        <f t="shared" si="3"/>
        <v>-0.27599999999999997</v>
      </c>
      <c r="AZ15" s="20"/>
      <c r="BA15" s="20"/>
      <c r="BB15" s="20"/>
      <c r="BC15" s="20"/>
      <c r="BD15" s="221" t="e">
        <f>-SUMIF(#REF!,Instances!$C15,#REF!)/1000</f>
        <v>#REF!</v>
      </c>
      <c r="BE15" s="221" t="e">
        <f>SUMIF(#REF!,Instances!$C15,#REF!)/1000</f>
        <v>#REF!</v>
      </c>
      <c r="BF15" s="221" t="e">
        <f t="shared" si="6"/>
        <v>#REF!</v>
      </c>
      <c r="BG15" s="221" t="e">
        <f t="shared" si="4"/>
        <v>#REF!</v>
      </c>
      <c r="BK15" s="345">
        <v>-4</v>
      </c>
      <c r="BL15" s="345"/>
      <c r="BM15" s="345">
        <f>BK15+BL15</f>
        <v>-4</v>
      </c>
      <c r="BN15" s="470"/>
    </row>
    <row r="16" spans="1:66" x14ac:dyDescent="0.25">
      <c r="A16">
        <v>12</v>
      </c>
      <c r="B16" s="448" t="s">
        <v>275</v>
      </c>
      <c r="C16" s="450"/>
      <c r="D16" s="64">
        <f>SUM(D11:D15)</f>
        <v>-24.908999999999999</v>
      </c>
      <c r="E16" s="64">
        <f>SUM(E11:E15)</f>
        <v>3.4560000000000004</v>
      </c>
      <c r="F16" s="41">
        <f>SUM(D16:E16)</f>
        <v>-21.452999999999999</v>
      </c>
      <c r="G16" s="32"/>
      <c r="H16" s="32"/>
      <c r="I16" s="64">
        <f>SUM(I11:I15)</f>
        <v>-35.6</v>
      </c>
      <c r="J16" s="64">
        <f>SUM(J11:J15)</f>
        <v>6.4999999999999991</v>
      </c>
      <c r="K16" s="41">
        <f>SUM(I16:J16)</f>
        <v>-29.1</v>
      </c>
      <c r="L16" s="32"/>
      <c r="M16" s="32"/>
      <c r="N16" s="41" t="e">
        <f>SUM(N11:N15)</f>
        <v>#REF!</v>
      </c>
      <c r="O16" s="41" t="e">
        <f>SUM(O11:O15)</f>
        <v>#REF!</v>
      </c>
      <c r="P16" s="41" t="e">
        <f>SUM(P11:P15)</f>
        <v>#REF!</v>
      </c>
      <c r="Q16" s="41"/>
      <c r="R16" s="158">
        <f>SUM(R11:R15)</f>
        <v>-28</v>
      </c>
      <c r="S16" s="158">
        <f>SUM(S11:S15)</f>
        <v>3</v>
      </c>
      <c r="T16" s="158">
        <f>SUM(T11:T15)</f>
        <v>-25</v>
      </c>
      <c r="U16" s="32"/>
      <c r="V16" s="408">
        <f>SUM(V11:V15)</f>
        <v>-3.63483</v>
      </c>
      <c r="W16" s="408">
        <f>SUM(W11:W15)</f>
        <v>1.03406</v>
      </c>
      <c r="X16" s="408">
        <f>SUM(X11:X15)</f>
        <v>-2.6007699999999998</v>
      </c>
      <c r="Y16" s="41"/>
      <c r="Z16" s="41">
        <f t="shared" ref="Z16" si="9">SUM(Z11:Z15)</f>
        <v>0</v>
      </c>
      <c r="AA16" s="32"/>
      <c r="AB16" s="462">
        <f>SUM(AB11:AB15)</f>
        <v>-7</v>
      </c>
      <c r="AC16" s="462">
        <f>SUM(AC11:AC15)</f>
        <v>0</v>
      </c>
      <c r="AD16" s="462">
        <f>SUM(AD11:AD15)</f>
        <v>-7</v>
      </c>
      <c r="AE16" s="41"/>
      <c r="AF16" s="80"/>
      <c r="AG16" s="41" t="s">
        <v>276</v>
      </c>
      <c r="AH16" s="65"/>
      <c r="AI16" s="149">
        <f>SUM(AI11:AI15)</f>
        <v>-4.50488</v>
      </c>
      <c r="AJ16" s="149">
        <f>SUM(AJ11:AJ15)</f>
        <v>1.2001599999999999</v>
      </c>
      <c r="AK16" s="149">
        <f>AJ16+AI16</f>
        <v>-3.3047200000000001</v>
      </c>
      <c r="AL16" s="81"/>
      <c r="AM16" s="81"/>
      <c r="AN16" s="81"/>
      <c r="AO16" s="81"/>
      <c r="AP16" s="340">
        <f>SUM(AP11:AP15)</f>
        <v>-17</v>
      </c>
      <c r="AQ16" s="340">
        <f>SUM(AQ11:AQ15)</f>
        <v>1</v>
      </c>
      <c r="AR16" s="340">
        <f t="shared" si="5"/>
        <v>-16</v>
      </c>
      <c r="AS16" s="225"/>
      <c r="AT16" s="225"/>
      <c r="AU16" s="225"/>
      <c r="AV16" s="20"/>
      <c r="AW16" s="333">
        <f>SUM(AW11:AW15)</f>
        <v>-7.9276599999999986</v>
      </c>
      <c r="AX16" s="333">
        <f>SUM(AX11:AX15)</f>
        <v>1.5358200000000002</v>
      </c>
      <c r="AY16" s="333">
        <f t="shared" si="3"/>
        <v>-6.3918399999999984</v>
      </c>
      <c r="AZ16" s="20"/>
      <c r="BA16" s="20"/>
      <c r="BB16" s="20"/>
      <c r="BC16" s="81"/>
      <c r="BD16" s="227" t="e">
        <f>SUM(BD11:BD15)</f>
        <v>#REF!</v>
      </c>
      <c r="BE16" s="227" t="e">
        <f>SUM(BE11:BE15)</f>
        <v>#REF!</v>
      </c>
      <c r="BF16" s="227" t="e">
        <f t="shared" si="6"/>
        <v>#REF!</v>
      </c>
      <c r="BG16" s="221" t="e">
        <f t="shared" si="4"/>
        <v>#REF!</v>
      </c>
      <c r="BK16" s="346">
        <f>SUM(BK11:BK15)</f>
        <v>-12</v>
      </c>
      <c r="BL16" s="346">
        <f>SUM(BL11:BL15)</f>
        <v>0</v>
      </c>
      <c r="BM16" s="346">
        <f t="shared" ref="BM16:BM35" si="10">BK16+BL16</f>
        <v>-12</v>
      </c>
      <c r="BN16" s="471"/>
    </row>
    <row r="17" spans="1:66" outlineLevel="1" x14ac:dyDescent="0.25">
      <c r="A17">
        <v>13</v>
      </c>
      <c r="B17" s="402" t="s">
        <v>277</v>
      </c>
      <c r="C17" s="403" t="s">
        <v>362</v>
      </c>
      <c r="D17" s="47">
        <v>-7.9509999999999996</v>
      </c>
      <c r="E17" s="47"/>
      <c r="F17" s="54">
        <f t="shared" ref="F17:F22" si="11">SUM(D17:E17)</f>
        <v>-7.9509999999999996</v>
      </c>
      <c r="G17" s="32"/>
      <c r="H17" s="32"/>
      <c r="I17" s="47">
        <v>-6.44</v>
      </c>
      <c r="J17" s="47">
        <v>0</v>
      </c>
      <c r="K17" s="54">
        <f t="shared" ref="K17:K22" si="12">SUM(I17:J17)</f>
        <v>-6.44</v>
      </c>
      <c r="L17" s="32"/>
      <c r="M17" s="32"/>
      <c r="N17" s="54" t="e">
        <f>-SUMIF(#REF!,$C17,#REF!)/1000</f>
        <v>#REF!</v>
      </c>
      <c r="O17" s="54" t="e">
        <f>SUMIF(#REF!,$C17,#REF!)/1000</f>
        <v>#REF!</v>
      </c>
      <c r="P17" s="54" t="e">
        <f t="shared" ref="P17:P22" si="13">N17+O17</f>
        <v>#REF!</v>
      </c>
      <c r="Q17" s="54"/>
      <c r="R17" s="187">
        <v>-6.3</v>
      </c>
      <c r="S17" s="187">
        <v>0</v>
      </c>
      <c r="T17" s="187">
        <f t="shared" ref="T17:T22" si="14">R17+S17</f>
        <v>-6.3</v>
      </c>
      <c r="U17" s="32"/>
      <c r="V17" s="454">
        <v>0</v>
      </c>
      <c r="W17" s="454">
        <v>0</v>
      </c>
      <c r="X17" s="454">
        <f t="shared" ref="X17:X22" si="15">V17+W17</f>
        <v>0</v>
      </c>
      <c r="Y17" s="54"/>
      <c r="Z17" s="54"/>
      <c r="AA17" s="32"/>
      <c r="AB17" s="461">
        <v>-8</v>
      </c>
      <c r="AC17" s="461">
        <v>0</v>
      </c>
      <c r="AD17" s="461">
        <f t="shared" ref="AD17:AD22" si="16">AB17+AC17</f>
        <v>-8</v>
      </c>
      <c r="AE17" s="191"/>
      <c r="AF17" s="191"/>
      <c r="AG17" s="129" t="s">
        <v>405</v>
      </c>
      <c r="AH17" s="32"/>
      <c r="AI17" s="148">
        <v>-12.732539999999998</v>
      </c>
      <c r="AJ17" s="148">
        <v>0</v>
      </c>
      <c r="AK17" s="148">
        <v>-12.732539999999998</v>
      </c>
      <c r="AL17" s="20"/>
      <c r="AM17" s="20"/>
      <c r="AN17" s="20"/>
      <c r="AO17" s="20"/>
      <c r="AP17" s="339">
        <v>-13</v>
      </c>
      <c r="AQ17" s="339"/>
      <c r="AR17" s="339">
        <f t="shared" si="5"/>
        <v>-13</v>
      </c>
      <c r="AS17" s="225"/>
      <c r="AT17" s="225"/>
      <c r="AU17" s="225"/>
      <c r="AV17" s="20"/>
      <c r="AW17" s="332">
        <v>-8.4355600000000006</v>
      </c>
      <c r="AX17" s="332">
        <v>2.0978600000000003</v>
      </c>
      <c r="AY17" s="332">
        <f t="shared" si="3"/>
        <v>-6.3376999999999999</v>
      </c>
      <c r="AZ17" s="20"/>
      <c r="BA17" s="20"/>
      <c r="BB17" s="20"/>
      <c r="BC17" s="20"/>
      <c r="BD17" s="221" t="e">
        <f>-SUMIF(#REF!,Instances!$C17,#REF!)/1000</f>
        <v>#REF!</v>
      </c>
      <c r="BE17" s="221" t="e">
        <f>SUMIF(#REF!,Instances!$C17,#REF!)/1000</f>
        <v>#REF!</v>
      </c>
      <c r="BF17" s="221" t="e">
        <f t="shared" si="6"/>
        <v>#REF!</v>
      </c>
      <c r="BG17" s="221" t="e">
        <f t="shared" si="4"/>
        <v>#REF!</v>
      </c>
      <c r="BK17" s="345">
        <v>-13</v>
      </c>
      <c r="BL17" s="345"/>
      <c r="BM17" s="345">
        <f t="shared" si="10"/>
        <v>-13</v>
      </c>
      <c r="BN17" s="470"/>
    </row>
    <row r="18" spans="1:66" outlineLevel="1" x14ac:dyDescent="0.25">
      <c r="A18">
        <v>14</v>
      </c>
      <c r="B18" s="402" t="s">
        <v>278</v>
      </c>
      <c r="C18" s="403" t="s">
        <v>363</v>
      </c>
      <c r="D18" s="47">
        <v>-0.28000000000000003</v>
      </c>
      <c r="E18" s="47"/>
      <c r="F18" s="54">
        <f t="shared" si="11"/>
        <v>-0.28000000000000003</v>
      </c>
      <c r="G18" s="32"/>
      <c r="H18" s="32"/>
      <c r="I18" s="47">
        <v>-0.24</v>
      </c>
      <c r="J18" s="47">
        <v>0</v>
      </c>
      <c r="K18" s="54">
        <f t="shared" si="12"/>
        <v>-0.24</v>
      </c>
      <c r="L18" s="32"/>
      <c r="M18" s="32"/>
      <c r="N18" s="54" t="e">
        <f>-SUMIF(#REF!,$C18,#REF!)/1000</f>
        <v>#REF!</v>
      </c>
      <c r="O18" s="54" t="e">
        <f>SUMIF(#REF!,$C18,#REF!)/1000</f>
        <v>#REF!</v>
      </c>
      <c r="P18" s="54" t="e">
        <f t="shared" si="13"/>
        <v>#REF!</v>
      </c>
      <c r="Q18" s="54"/>
      <c r="R18" s="187">
        <v>0</v>
      </c>
      <c r="S18" s="187">
        <v>0</v>
      </c>
      <c r="T18" s="187">
        <f t="shared" si="14"/>
        <v>0</v>
      </c>
      <c r="U18" s="32"/>
      <c r="V18" s="454">
        <v>0</v>
      </c>
      <c r="W18" s="454">
        <v>0</v>
      </c>
      <c r="X18" s="454">
        <f t="shared" si="15"/>
        <v>0</v>
      </c>
      <c r="Y18" s="54"/>
      <c r="Z18" s="54"/>
      <c r="AA18" s="32"/>
      <c r="AB18" s="461">
        <v>0</v>
      </c>
      <c r="AC18" s="461">
        <v>0</v>
      </c>
      <c r="AD18" s="461">
        <f t="shared" si="16"/>
        <v>0</v>
      </c>
      <c r="AE18" s="191"/>
      <c r="AF18" s="191"/>
      <c r="AG18" s="54"/>
      <c r="AH18" s="32"/>
      <c r="AI18" s="148">
        <v>0</v>
      </c>
      <c r="AJ18" s="148">
        <v>0</v>
      </c>
      <c r="AK18" s="148">
        <v>0</v>
      </c>
      <c r="AL18" s="20"/>
      <c r="AM18" s="20"/>
      <c r="AN18" s="20"/>
      <c r="AO18" s="20"/>
      <c r="AP18" s="339"/>
      <c r="AQ18" s="339"/>
      <c r="AR18" s="339">
        <f t="shared" si="5"/>
        <v>0</v>
      </c>
      <c r="AS18" s="225"/>
      <c r="AT18" s="225"/>
      <c r="AU18" s="225"/>
      <c r="AV18" s="20"/>
      <c r="AW18" s="332">
        <v>0</v>
      </c>
      <c r="AX18" s="332">
        <v>0</v>
      </c>
      <c r="AY18" s="332">
        <f t="shared" si="3"/>
        <v>0</v>
      </c>
      <c r="AZ18" s="20"/>
      <c r="BA18" s="20"/>
      <c r="BB18" s="20"/>
      <c r="BC18" s="20"/>
      <c r="BD18" s="221" t="e">
        <f>-SUMIF(#REF!,Instances!$C18,#REF!)/1000</f>
        <v>#REF!</v>
      </c>
      <c r="BE18" s="221" t="e">
        <f>SUMIF(#REF!,Instances!$C18,#REF!)/1000</f>
        <v>#REF!</v>
      </c>
      <c r="BF18" s="221" t="e">
        <f t="shared" si="6"/>
        <v>#REF!</v>
      </c>
      <c r="BG18" s="221" t="e">
        <f t="shared" si="4"/>
        <v>#REF!</v>
      </c>
      <c r="BK18" s="345"/>
      <c r="BL18" s="345"/>
      <c r="BM18" s="345">
        <f t="shared" si="10"/>
        <v>0</v>
      </c>
      <c r="BN18" s="470"/>
    </row>
    <row r="19" spans="1:66" outlineLevel="1" x14ac:dyDescent="0.25">
      <c r="A19">
        <v>15</v>
      </c>
      <c r="B19" s="402" t="s">
        <v>279</v>
      </c>
      <c r="C19" s="403" t="s">
        <v>364</v>
      </c>
      <c r="D19" s="47">
        <v>-5</v>
      </c>
      <c r="E19" s="47"/>
      <c r="F19" s="54">
        <f t="shared" si="11"/>
        <v>-5</v>
      </c>
      <c r="G19" s="32"/>
      <c r="H19" s="32"/>
      <c r="I19" s="47">
        <v>-5.0999999999999996</v>
      </c>
      <c r="J19" s="47">
        <v>0</v>
      </c>
      <c r="K19" s="54">
        <f t="shared" si="12"/>
        <v>-5.0999999999999996</v>
      </c>
      <c r="L19" s="32"/>
      <c r="M19" s="32"/>
      <c r="N19" s="54" t="e">
        <f>-SUMIF(#REF!,$C19,#REF!)/1000</f>
        <v>#REF!</v>
      </c>
      <c r="O19" s="54" t="e">
        <f>SUMIF(#REF!,$C19,#REF!)/1000</f>
        <v>#REF!</v>
      </c>
      <c r="P19" s="54" t="e">
        <f t="shared" si="13"/>
        <v>#REF!</v>
      </c>
      <c r="Q19" s="54"/>
      <c r="R19" s="187">
        <v>-5</v>
      </c>
      <c r="S19" s="187">
        <v>0</v>
      </c>
      <c r="T19" s="187">
        <f t="shared" si="14"/>
        <v>-5</v>
      </c>
      <c r="U19" s="32"/>
      <c r="V19" s="454">
        <v>0</v>
      </c>
      <c r="W19" s="454">
        <v>0</v>
      </c>
      <c r="X19" s="454">
        <f t="shared" si="15"/>
        <v>0</v>
      </c>
      <c r="Y19" s="54"/>
      <c r="Z19" s="54"/>
      <c r="AA19" s="32"/>
      <c r="AB19" s="461">
        <v>-3</v>
      </c>
      <c r="AC19" s="461">
        <v>0</v>
      </c>
      <c r="AD19" s="461">
        <f t="shared" si="16"/>
        <v>-3</v>
      </c>
      <c r="AE19" s="191"/>
      <c r="AF19" s="191"/>
      <c r="AG19" s="54" t="s">
        <v>406</v>
      </c>
      <c r="AH19" s="32"/>
      <c r="AI19" s="148">
        <v>-3</v>
      </c>
      <c r="AJ19" s="148">
        <v>0</v>
      </c>
      <c r="AK19" s="148">
        <v>-3</v>
      </c>
      <c r="AL19" s="20"/>
      <c r="AM19" s="20"/>
      <c r="AN19" s="20"/>
      <c r="AO19" s="20"/>
      <c r="AP19" s="339">
        <v>-5</v>
      </c>
      <c r="AQ19" s="339"/>
      <c r="AR19" s="339">
        <f t="shared" si="5"/>
        <v>-5</v>
      </c>
      <c r="AS19" s="225"/>
      <c r="AT19" s="225"/>
      <c r="AU19" s="225"/>
      <c r="AV19" s="20"/>
      <c r="AW19" s="332">
        <v>-5</v>
      </c>
      <c r="AX19" s="332">
        <v>0</v>
      </c>
      <c r="AY19" s="332">
        <f t="shared" si="3"/>
        <v>-5</v>
      </c>
      <c r="AZ19" s="20"/>
      <c r="BA19" s="20"/>
      <c r="BB19" s="20"/>
      <c r="BC19" s="20"/>
      <c r="BD19" s="221" t="e">
        <f>-SUMIF(#REF!,Instances!$C19,#REF!)/1000</f>
        <v>#REF!</v>
      </c>
      <c r="BE19" s="221" t="e">
        <f>SUMIF(#REF!,Instances!$C19,#REF!)/1000</f>
        <v>#REF!</v>
      </c>
      <c r="BF19" s="221" t="e">
        <f t="shared" si="6"/>
        <v>#REF!</v>
      </c>
      <c r="BG19" s="221" t="e">
        <f t="shared" si="4"/>
        <v>#REF!</v>
      </c>
      <c r="BK19" s="345">
        <v>-5</v>
      </c>
      <c r="BL19" s="345"/>
      <c r="BM19" s="345">
        <f t="shared" si="10"/>
        <v>-5</v>
      </c>
      <c r="BN19" s="470"/>
    </row>
    <row r="20" spans="1:66" outlineLevel="1" x14ac:dyDescent="0.25">
      <c r="A20">
        <v>16</v>
      </c>
      <c r="B20" s="402" t="s">
        <v>280</v>
      </c>
      <c r="C20" s="403" t="s">
        <v>365</v>
      </c>
      <c r="D20" s="47">
        <v>-3.5619999999999998</v>
      </c>
      <c r="E20" s="47"/>
      <c r="F20" s="54">
        <f t="shared" si="11"/>
        <v>-3.5619999999999998</v>
      </c>
      <c r="G20" s="32"/>
      <c r="H20" s="32"/>
      <c r="I20" s="47">
        <v>-2.7</v>
      </c>
      <c r="J20" s="47">
        <v>0.24</v>
      </c>
      <c r="K20" s="54">
        <f t="shared" si="12"/>
        <v>-2.46</v>
      </c>
      <c r="L20" s="32"/>
      <c r="M20" s="32"/>
      <c r="N20" s="54" t="e">
        <f>-SUMIF(#REF!,$C20,#REF!)/1000</f>
        <v>#REF!</v>
      </c>
      <c r="O20" s="54" t="e">
        <f>SUMIF(#REF!,$C20,#REF!)/1000</f>
        <v>#REF!</v>
      </c>
      <c r="P20" s="54" t="e">
        <f t="shared" si="13"/>
        <v>#REF!</v>
      </c>
      <c r="Q20" s="54"/>
      <c r="R20" s="187">
        <v>-2.7</v>
      </c>
      <c r="S20" s="187">
        <v>0.2</v>
      </c>
      <c r="T20" s="187">
        <f t="shared" si="14"/>
        <v>-2.5</v>
      </c>
      <c r="U20" s="32"/>
      <c r="V20" s="454">
        <v>-2.8791599999999997</v>
      </c>
      <c r="W20" s="454">
        <v>0.93637999999999999</v>
      </c>
      <c r="X20" s="454">
        <f t="shared" si="15"/>
        <v>-1.9427799999999997</v>
      </c>
      <c r="Y20" s="54"/>
      <c r="Z20" s="54"/>
      <c r="AA20" s="32"/>
      <c r="AB20" s="461"/>
      <c r="AC20" s="461">
        <v>0</v>
      </c>
      <c r="AD20" s="461">
        <f t="shared" si="16"/>
        <v>0</v>
      </c>
      <c r="AE20" s="191"/>
      <c r="AF20" s="191"/>
      <c r="AG20" s="129" t="s">
        <v>407</v>
      </c>
      <c r="AH20" s="32"/>
      <c r="AI20" s="148">
        <v>0</v>
      </c>
      <c r="AJ20" s="148">
        <v>0</v>
      </c>
      <c r="AK20" s="148">
        <v>0</v>
      </c>
      <c r="AL20" s="20"/>
      <c r="AM20" s="20"/>
      <c r="AN20" s="20"/>
      <c r="AO20" s="20"/>
      <c r="AP20" s="339"/>
      <c r="AQ20" s="339"/>
      <c r="AR20" s="339">
        <f t="shared" si="5"/>
        <v>0</v>
      </c>
      <c r="AS20" s="225"/>
      <c r="AT20" s="225"/>
      <c r="AU20" s="225"/>
      <c r="AV20" s="20"/>
      <c r="AW20" s="332">
        <v>0</v>
      </c>
      <c r="AX20" s="332">
        <v>0</v>
      </c>
      <c r="AY20" s="332">
        <f t="shared" si="3"/>
        <v>0</v>
      </c>
      <c r="AZ20" s="20"/>
      <c r="BA20" s="20"/>
      <c r="BB20" s="20"/>
      <c r="BC20" s="20"/>
      <c r="BD20" s="221" t="e">
        <f>-SUMIF(#REF!,Instances!$C20,#REF!)/1000</f>
        <v>#REF!</v>
      </c>
      <c r="BE20" s="221" t="e">
        <f>SUMIF(#REF!,Instances!$C20,#REF!)/1000</f>
        <v>#REF!</v>
      </c>
      <c r="BF20" s="221" t="e">
        <f t="shared" si="6"/>
        <v>#REF!</v>
      </c>
      <c r="BG20" s="221" t="e">
        <f t="shared" si="4"/>
        <v>#REF!</v>
      </c>
      <c r="BK20" s="345">
        <v>-1.8</v>
      </c>
      <c r="BL20" s="345"/>
      <c r="BM20" s="345">
        <f t="shared" si="10"/>
        <v>-1.8</v>
      </c>
      <c r="BN20" s="470"/>
    </row>
    <row r="21" spans="1:66" outlineLevel="1" x14ac:dyDescent="0.25">
      <c r="A21">
        <v>17</v>
      </c>
      <c r="B21" s="402" t="s">
        <v>281</v>
      </c>
      <c r="C21" s="403" t="s">
        <v>366</v>
      </c>
      <c r="D21" s="47">
        <v>-1.179</v>
      </c>
      <c r="E21" s="47"/>
      <c r="F21" s="54">
        <f t="shared" si="11"/>
        <v>-1.179</v>
      </c>
      <c r="G21" s="32"/>
      <c r="H21" s="32"/>
      <c r="I21" s="47">
        <v>-1.8</v>
      </c>
      <c r="J21" s="47">
        <v>0.24</v>
      </c>
      <c r="K21" s="54">
        <f t="shared" si="12"/>
        <v>-1.56</v>
      </c>
      <c r="L21" s="32"/>
      <c r="M21" s="32"/>
      <c r="N21" s="54" t="e">
        <f>-SUMIF(#REF!,$C21,#REF!)/1000</f>
        <v>#REF!</v>
      </c>
      <c r="O21" s="54" t="e">
        <f>SUMIF(#REF!,$C21,#REF!)/1000</f>
        <v>#REF!</v>
      </c>
      <c r="P21" s="54" t="e">
        <f t="shared" si="13"/>
        <v>#REF!</v>
      </c>
      <c r="Q21" s="54"/>
      <c r="R21" s="187">
        <v>-2.8</v>
      </c>
      <c r="S21" s="187">
        <v>0.3</v>
      </c>
      <c r="T21" s="187">
        <f t="shared" si="14"/>
        <v>-2.5</v>
      </c>
      <c r="U21" s="32"/>
      <c r="V21" s="454">
        <v>0</v>
      </c>
      <c r="W21" s="454">
        <v>0</v>
      </c>
      <c r="X21" s="454">
        <f t="shared" si="15"/>
        <v>0</v>
      </c>
      <c r="Y21" s="54"/>
      <c r="Z21" s="54"/>
      <c r="AA21" s="32"/>
      <c r="AB21" s="461">
        <v>-1.5</v>
      </c>
      <c r="AC21" s="461">
        <v>0</v>
      </c>
      <c r="AD21" s="461">
        <f t="shared" si="16"/>
        <v>-1.5</v>
      </c>
      <c r="AE21" s="191"/>
      <c r="AF21" s="191"/>
      <c r="AG21" s="54" t="s">
        <v>282</v>
      </c>
      <c r="AH21" s="32"/>
      <c r="AI21" s="148">
        <v>-2.4450400000000001</v>
      </c>
      <c r="AJ21" s="148">
        <v>1.18573</v>
      </c>
      <c r="AK21" s="148">
        <v>-1.2593100000000002</v>
      </c>
      <c r="AL21" s="20"/>
      <c r="AM21" s="20"/>
      <c r="AN21" s="20"/>
      <c r="AO21" s="20"/>
      <c r="AP21" s="339">
        <v>-3</v>
      </c>
      <c r="AQ21" s="339"/>
      <c r="AR21" s="339">
        <f t="shared" si="5"/>
        <v>-3</v>
      </c>
      <c r="AS21" s="225"/>
      <c r="AT21" s="225"/>
      <c r="AU21" s="225"/>
      <c r="AV21" s="20"/>
      <c r="AW21" s="332">
        <v>-1.1308099999999999</v>
      </c>
      <c r="AX21" s="332">
        <v>0.43475000000000003</v>
      </c>
      <c r="AY21" s="332">
        <f t="shared" si="3"/>
        <v>-0.6960599999999999</v>
      </c>
      <c r="AZ21" s="20"/>
      <c r="BA21" s="20"/>
      <c r="BB21" s="20"/>
      <c r="BC21" s="20"/>
      <c r="BD21" s="221" t="e">
        <f>-SUMIF(#REF!,Instances!$C21,#REF!)/1000</f>
        <v>#REF!</v>
      </c>
      <c r="BE21" s="221" t="e">
        <f>SUMIF(#REF!,Instances!$C21,#REF!)/1000</f>
        <v>#REF!</v>
      </c>
      <c r="BF21" s="221" t="e">
        <f t="shared" si="6"/>
        <v>#REF!</v>
      </c>
      <c r="BG21" s="221" t="e">
        <f t="shared" si="4"/>
        <v>#REF!</v>
      </c>
      <c r="BK21" s="345">
        <v>-3</v>
      </c>
      <c r="BL21" s="345"/>
      <c r="BM21" s="345">
        <f t="shared" si="10"/>
        <v>-3</v>
      </c>
      <c r="BN21" s="470"/>
    </row>
    <row r="22" spans="1:66" outlineLevel="1" x14ac:dyDescent="0.25">
      <c r="A22">
        <v>18</v>
      </c>
      <c r="B22" s="402" t="s">
        <v>283</v>
      </c>
      <c r="C22" s="403" t="s">
        <v>367</v>
      </c>
      <c r="D22" s="47">
        <v>-0.38</v>
      </c>
      <c r="E22" s="47"/>
      <c r="F22" s="54">
        <f t="shared" si="11"/>
        <v>-0.38</v>
      </c>
      <c r="G22" s="32"/>
      <c r="H22" s="32"/>
      <c r="I22" s="47">
        <v>-0.2</v>
      </c>
      <c r="J22" s="47">
        <v>0</v>
      </c>
      <c r="K22" s="54">
        <f t="shared" si="12"/>
        <v>-0.2</v>
      </c>
      <c r="L22" s="32"/>
      <c r="M22" s="32"/>
      <c r="N22" s="54" t="e">
        <f>-SUMIF(#REF!,$C22,#REF!)/1000</f>
        <v>#REF!</v>
      </c>
      <c r="O22" s="54" t="e">
        <f>SUMIF(#REF!,$C22,#REF!)/1000</f>
        <v>#REF!</v>
      </c>
      <c r="P22" s="54" t="e">
        <f t="shared" si="13"/>
        <v>#REF!</v>
      </c>
      <c r="Q22" s="54"/>
      <c r="R22" s="187">
        <v>-1</v>
      </c>
      <c r="S22" s="187">
        <v>0</v>
      </c>
      <c r="T22" s="187">
        <f t="shared" si="14"/>
        <v>-1</v>
      </c>
      <c r="U22" s="32"/>
      <c r="V22" s="454">
        <v>0</v>
      </c>
      <c r="W22" s="454">
        <v>0</v>
      </c>
      <c r="X22" s="454">
        <f t="shared" si="15"/>
        <v>0</v>
      </c>
      <c r="Y22" s="54"/>
      <c r="Z22" s="54"/>
      <c r="AA22" s="32"/>
      <c r="AB22" s="461">
        <v>-1</v>
      </c>
      <c r="AC22" s="461">
        <v>0</v>
      </c>
      <c r="AD22" s="461">
        <f t="shared" si="16"/>
        <v>-1</v>
      </c>
      <c r="AE22" s="191"/>
      <c r="AF22" s="191"/>
      <c r="AG22" s="54"/>
      <c r="AH22" s="32"/>
      <c r="AI22" s="148">
        <v>0</v>
      </c>
      <c r="AJ22" s="148">
        <v>0</v>
      </c>
      <c r="AK22" s="148">
        <v>0</v>
      </c>
      <c r="AL22" s="20"/>
      <c r="AM22" s="20"/>
      <c r="AN22" s="20"/>
      <c r="AO22" s="20"/>
      <c r="AP22" s="339">
        <v>-1</v>
      </c>
      <c r="AQ22" s="339"/>
      <c r="AR22" s="339">
        <f t="shared" si="5"/>
        <v>-1</v>
      </c>
      <c r="AS22" s="225"/>
      <c r="AT22" s="225"/>
      <c r="AU22" s="225"/>
      <c r="AV22" s="20"/>
      <c r="AW22" s="332">
        <v>-1.4151099999999999</v>
      </c>
      <c r="AX22" s="332">
        <v>0.14000000000000001</v>
      </c>
      <c r="AY22" s="332">
        <f t="shared" si="3"/>
        <v>-1.2751099999999997</v>
      </c>
      <c r="AZ22" s="20"/>
      <c r="BA22" s="20"/>
      <c r="BB22" s="20"/>
      <c r="BC22" s="20"/>
      <c r="BD22" s="221" t="e">
        <f>-SUMIF(#REF!,Instances!$C22,#REF!)/1000</f>
        <v>#REF!</v>
      </c>
      <c r="BE22" s="221" t="e">
        <f>SUMIF(#REF!,Instances!$C22,#REF!)/1000</f>
        <v>#REF!</v>
      </c>
      <c r="BF22" s="221" t="e">
        <f t="shared" si="6"/>
        <v>#REF!</v>
      </c>
      <c r="BG22" s="221" t="e">
        <f t="shared" si="4"/>
        <v>#REF!</v>
      </c>
      <c r="BK22" s="345">
        <v>-1</v>
      </c>
      <c r="BL22" s="345"/>
      <c r="BM22" s="345">
        <f t="shared" si="10"/>
        <v>-1</v>
      </c>
      <c r="BN22" s="470"/>
    </row>
    <row r="23" spans="1:66" x14ac:dyDescent="0.25">
      <c r="A23">
        <v>19</v>
      </c>
      <c r="B23" s="448" t="s">
        <v>284</v>
      </c>
      <c r="C23" s="450"/>
      <c r="D23" s="64">
        <f>SUM(D17:D22)</f>
        <v>-18.351999999999997</v>
      </c>
      <c r="E23" s="64">
        <f>SUM(E17:E22)</f>
        <v>0</v>
      </c>
      <c r="F23" s="41">
        <f>SUM(D23:E23)</f>
        <v>-18.351999999999997</v>
      </c>
      <c r="G23" s="32"/>
      <c r="H23" s="32"/>
      <c r="I23" s="64">
        <f>SUM(I17:I22)</f>
        <v>-16.48</v>
      </c>
      <c r="J23" s="64">
        <f>SUM(J17:J22)</f>
        <v>0.48</v>
      </c>
      <c r="K23" s="41">
        <f>SUM(I23:J23)</f>
        <v>-16</v>
      </c>
      <c r="L23" s="32"/>
      <c r="M23" s="32"/>
      <c r="N23" s="41" t="e">
        <f>SUM(N17:N22)</f>
        <v>#REF!</v>
      </c>
      <c r="O23" s="41" t="e">
        <f>SUM(O17:O22)</f>
        <v>#REF!</v>
      </c>
      <c r="P23" s="41" t="e">
        <f>SUM(P17:P22)</f>
        <v>#REF!</v>
      </c>
      <c r="Q23" s="41"/>
      <c r="R23" s="172">
        <f>SUM(R17:R22)</f>
        <v>-17.8</v>
      </c>
      <c r="S23" s="172">
        <f>SUM(S17:S22)</f>
        <v>0.5</v>
      </c>
      <c r="T23" s="172">
        <f>SUM(T17:T22)</f>
        <v>-17.3</v>
      </c>
      <c r="U23" s="32"/>
      <c r="V23" s="409">
        <f>SUM(V17:V22)</f>
        <v>-2.8791599999999997</v>
      </c>
      <c r="W23" s="409">
        <f>SUM(W17:W22)</f>
        <v>0.93637999999999999</v>
      </c>
      <c r="X23" s="409">
        <f>SUM(X17:X22)</f>
        <v>-1.9427799999999997</v>
      </c>
      <c r="Y23" s="41"/>
      <c r="Z23" s="41">
        <f t="shared" ref="Z23" si="17">SUM(Z17:Z22)</f>
        <v>0</v>
      </c>
      <c r="AA23" s="32"/>
      <c r="AB23" s="463">
        <f>SUM(AB17:AB22)</f>
        <v>-13.5</v>
      </c>
      <c r="AC23" s="463">
        <f>SUM(AC17:AC22)</f>
        <v>0</v>
      </c>
      <c r="AD23" s="463">
        <f>SUM(AD17:AD22)</f>
        <v>-13.5</v>
      </c>
      <c r="AE23" s="41"/>
      <c r="AF23" s="80"/>
      <c r="AG23" s="41"/>
      <c r="AH23" s="32"/>
      <c r="AI23" s="149">
        <f>SUM(AI17:AI22)</f>
        <v>-18.177579999999999</v>
      </c>
      <c r="AJ23" s="149">
        <f>SUM(AJ17:AJ22)</f>
        <v>1.18573</v>
      </c>
      <c r="AK23" s="149">
        <f>AJ23+AI23</f>
        <v>-16.991849999999999</v>
      </c>
      <c r="AL23" s="81"/>
      <c r="AM23" s="81"/>
      <c r="AN23" s="81"/>
      <c r="AO23" s="81"/>
      <c r="AP23" s="340">
        <f>SUM(AP17:AP22)</f>
        <v>-22</v>
      </c>
      <c r="AQ23" s="340">
        <f>SUM(AQ17:AQ22)</f>
        <v>0</v>
      </c>
      <c r="AR23" s="340">
        <f t="shared" si="5"/>
        <v>-22</v>
      </c>
      <c r="AS23" s="225"/>
      <c r="AT23" s="225"/>
      <c r="AU23" s="225"/>
      <c r="AV23" s="20"/>
      <c r="AW23" s="333">
        <f>SUM(AW17:AW22)</f>
        <v>-15.981480000000001</v>
      </c>
      <c r="AX23" s="333">
        <f>SUM(AX17:AX22)</f>
        <v>2.6726100000000006</v>
      </c>
      <c r="AY23" s="333">
        <f t="shared" si="3"/>
        <v>-13.308870000000001</v>
      </c>
      <c r="AZ23" s="81"/>
      <c r="BA23" s="81"/>
      <c r="BB23" s="81"/>
      <c r="BC23" s="81"/>
      <c r="BD23" s="227" t="e">
        <f>SUM(BD17:BD22)</f>
        <v>#REF!</v>
      </c>
      <c r="BE23" s="227" t="e">
        <f>SUM(BE17:BE22)</f>
        <v>#REF!</v>
      </c>
      <c r="BF23" s="227" t="e">
        <f t="shared" si="6"/>
        <v>#REF!</v>
      </c>
      <c r="BG23" s="221" t="e">
        <f t="shared" si="4"/>
        <v>#REF!</v>
      </c>
      <c r="BK23" s="346">
        <f>SUM(BK17:BK22)</f>
        <v>-23.8</v>
      </c>
      <c r="BL23" s="346">
        <f>SUM(BL17:BL22)</f>
        <v>0</v>
      </c>
      <c r="BM23" s="346">
        <f t="shared" si="10"/>
        <v>-23.8</v>
      </c>
      <c r="BN23" s="471"/>
    </row>
    <row r="24" spans="1:66" x14ac:dyDescent="0.25">
      <c r="A24">
        <v>20</v>
      </c>
      <c r="B24" s="387" t="s">
        <v>285</v>
      </c>
      <c r="C24" s="388"/>
      <c r="D24" s="66">
        <f>SUM(D23,D16,D10)</f>
        <v>-58.976999999999997</v>
      </c>
      <c r="E24" s="66">
        <f>SUM(E23,E16,E10)</f>
        <v>9.1880000000000006</v>
      </c>
      <c r="F24" s="67">
        <f>SUM(D24:E24)</f>
        <v>-49.788999999999994</v>
      </c>
      <c r="G24" s="32"/>
      <c r="H24" s="32"/>
      <c r="I24" s="66">
        <f>SUM(I23,I16,I10)</f>
        <v>-69.38</v>
      </c>
      <c r="J24" s="66">
        <f>SUM(J23,J16,J10)</f>
        <v>11.479999999999999</v>
      </c>
      <c r="K24" s="67">
        <f>SUM(I24:J24)</f>
        <v>-57.9</v>
      </c>
      <c r="L24" s="32"/>
      <c r="M24" s="32"/>
      <c r="N24" s="67" t="e">
        <f>SUM(N10,N16,N23)</f>
        <v>#REF!</v>
      </c>
      <c r="O24" s="67" t="e">
        <f>SUM(O10,O16,O23)</f>
        <v>#REF!</v>
      </c>
      <c r="P24" s="67" t="e">
        <f>SUM(P10,P16,P23)</f>
        <v>#REF!</v>
      </c>
      <c r="Q24" s="68"/>
      <c r="R24" s="92">
        <f>SUM(R10,R16,R23)</f>
        <v>-56.8</v>
      </c>
      <c r="S24" s="92">
        <f>SUM(S10,S16,S23)</f>
        <v>5</v>
      </c>
      <c r="T24" s="92">
        <f>SUM(T10,T16,T23)</f>
        <v>-51.8</v>
      </c>
      <c r="U24" s="32"/>
      <c r="V24" s="410">
        <f>SUM(V10,V16,V23)</f>
        <v>-9.4293699999999987</v>
      </c>
      <c r="W24" s="410">
        <f>SUM(W10,W16,W23)</f>
        <v>4.1018299999999996</v>
      </c>
      <c r="X24" s="410">
        <f>SUM(X10,X16,X23)</f>
        <v>-5.3275399999999999</v>
      </c>
      <c r="Y24" s="67"/>
      <c r="Z24" s="67">
        <f t="shared" ref="Z24" si="18">SUM(Z10,Z16,Z23)</f>
        <v>0</v>
      </c>
      <c r="AA24" s="32"/>
      <c r="AB24" s="464">
        <f>SUM(AB10,AB16,AB23)</f>
        <v>-24.5</v>
      </c>
      <c r="AC24" s="464">
        <f>SUM(AC10,AC16,AC23)</f>
        <v>0</v>
      </c>
      <c r="AD24" s="464">
        <f>SUM(AD10,AD16,AD23)</f>
        <v>-24.5</v>
      </c>
      <c r="AE24" s="67"/>
      <c r="AF24" s="67"/>
      <c r="AG24" s="67"/>
      <c r="AH24" s="32"/>
      <c r="AI24" s="149">
        <f>SUM(AI10,AI16,AI23)</f>
        <v>-28.187089999999998</v>
      </c>
      <c r="AJ24" s="149">
        <f>SUM(AJ10,AJ16,AJ23)</f>
        <v>5.1813099999999999</v>
      </c>
      <c r="AK24" s="149">
        <f>AJ24+AI24</f>
        <v>-23.005779999999998</v>
      </c>
      <c r="AL24" s="26"/>
      <c r="AM24" s="26"/>
      <c r="AN24" s="26"/>
      <c r="AO24" s="81"/>
      <c r="AP24" s="340">
        <f>SUM(AP10,AP16,AP23)</f>
        <v>-43</v>
      </c>
      <c r="AQ24" s="340">
        <f>SUM(AQ10,AQ16,AQ23)</f>
        <v>1</v>
      </c>
      <c r="AR24" s="340">
        <f t="shared" si="5"/>
        <v>-42</v>
      </c>
      <c r="AS24" s="225"/>
      <c r="AT24" s="225"/>
      <c r="AU24" s="225"/>
      <c r="AV24" s="20"/>
      <c r="AW24" s="333">
        <f>SUM(AW10,AW16,AW23)</f>
        <v>-27.179389999999998</v>
      </c>
      <c r="AX24" s="333">
        <f>SUM(AX10,AX16,AX23)</f>
        <v>5.9479800000000012</v>
      </c>
      <c r="AY24" s="333">
        <f t="shared" si="3"/>
        <v>-21.231409999999997</v>
      </c>
      <c r="AZ24" s="81"/>
      <c r="BA24" s="81"/>
      <c r="BB24" s="81"/>
      <c r="BC24" s="81"/>
      <c r="BD24" s="227" t="e">
        <f>SUM(BD10,BD16,BD23)</f>
        <v>#REF!</v>
      </c>
      <c r="BE24" s="227" t="e">
        <f>SUM(BE10,BE16,BE23)</f>
        <v>#REF!</v>
      </c>
      <c r="BF24" s="227" t="e">
        <f t="shared" si="6"/>
        <v>#REF!</v>
      </c>
      <c r="BG24" s="221" t="e">
        <f t="shared" si="4"/>
        <v>#REF!</v>
      </c>
      <c r="BK24" s="346">
        <f>SUM(BK10,BK16,BK23)</f>
        <v>-40.299999999999997</v>
      </c>
      <c r="BL24" s="346">
        <f>SUM(BL10,BL16,BL23)</f>
        <v>1</v>
      </c>
      <c r="BM24" s="346">
        <f t="shared" si="10"/>
        <v>-39.299999999999997</v>
      </c>
      <c r="BN24" s="471"/>
    </row>
    <row r="25" spans="1:66" outlineLevel="2" x14ac:dyDescent="0.25">
      <c r="A25">
        <v>21</v>
      </c>
      <c r="B25" s="402" t="s">
        <v>286</v>
      </c>
      <c r="C25" s="403" t="s">
        <v>368</v>
      </c>
      <c r="D25" s="47">
        <v>-13.122999999999999</v>
      </c>
      <c r="E25" s="47"/>
      <c r="F25" s="54">
        <f t="shared" ref="F25:F29" si="19">SUM(D25:E25)</f>
        <v>-13.122999999999999</v>
      </c>
      <c r="G25" s="32"/>
      <c r="H25" s="32"/>
      <c r="I25" s="47">
        <v>-10.199999999999999</v>
      </c>
      <c r="J25" s="47">
        <v>0</v>
      </c>
      <c r="K25" s="54">
        <f t="shared" ref="K25:K35" si="20">SUM(I25:J25)</f>
        <v>-10.199999999999999</v>
      </c>
      <c r="L25" s="32"/>
      <c r="M25" s="32"/>
      <c r="N25" s="54" t="e">
        <f>-SUMIF(#REF!,$C25,#REF!)/1000</f>
        <v>#REF!</v>
      </c>
      <c r="O25" s="54" t="e">
        <f>SUMIF(#REF!,$C25,#REF!)/1000</f>
        <v>#REF!</v>
      </c>
      <c r="P25" s="54" t="e">
        <f t="shared" ref="P25:P33" si="21">N25+O25</f>
        <v>#REF!</v>
      </c>
      <c r="Q25" s="54"/>
      <c r="R25" s="188">
        <v>-27</v>
      </c>
      <c r="S25" s="188">
        <v>0</v>
      </c>
      <c r="T25" s="188">
        <f>R25+S25</f>
        <v>-27</v>
      </c>
      <c r="U25" s="32"/>
      <c r="V25" s="455">
        <v>-4.4243500000000004</v>
      </c>
      <c r="W25" s="455">
        <v>3.9500000000000004E-3</v>
      </c>
      <c r="X25" s="455">
        <f>V25+W25</f>
        <v>-4.4204000000000008</v>
      </c>
      <c r="Y25" s="54"/>
      <c r="Z25" s="54"/>
      <c r="AA25" s="32"/>
      <c r="AB25" s="465">
        <v>-8</v>
      </c>
      <c r="AC25" s="465">
        <v>0</v>
      </c>
      <c r="AD25" s="465">
        <f>AB25+AC25</f>
        <v>-8</v>
      </c>
      <c r="AE25" s="191"/>
      <c r="AF25" s="191"/>
      <c r="AG25" s="54" t="s">
        <v>287</v>
      </c>
      <c r="AH25" s="32"/>
      <c r="AI25" s="148">
        <v>-5.3545699999999998</v>
      </c>
      <c r="AJ25" s="148">
        <v>9.2269999999999991E-2</v>
      </c>
      <c r="AK25" s="148">
        <v>-5.2622999999999998</v>
      </c>
      <c r="AL25" s="20"/>
      <c r="AM25" s="20"/>
      <c r="AN25" s="20"/>
      <c r="AO25" s="20"/>
      <c r="AP25" s="339">
        <v>-8</v>
      </c>
      <c r="AQ25" s="339"/>
      <c r="AR25" s="339">
        <f t="shared" si="5"/>
        <v>-8</v>
      </c>
      <c r="AS25" s="225"/>
      <c r="AT25" s="225"/>
      <c r="AU25" s="225"/>
      <c r="AV25" s="20"/>
      <c r="AW25" s="332">
        <v>-14.05809</v>
      </c>
      <c r="AX25" s="332">
        <v>0</v>
      </c>
      <c r="AY25" s="332">
        <f t="shared" si="3"/>
        <v>-14.05809</v>
      </c>
      <c r="AZ25" s="20"/>
      <c r="BA25" s="20"/>
      <c r="BB25" s="20"/>
      <c r="BC25" s="20"/>
      <c r="BD25" s="221" t="e">
        <f>-SUMIF(#REF!,Instances!$C25,#REF!)/1000</f>
        <v>#REF!</v>
      </c>
      <c r="BE25" s="221" t="e">
        <f>SUMIF(#REF!,Instances!$C25,#REF!)/1000</f>
        <v>#REF!</v>
      </c>
      <c r="BF25" s="221" t="e">
        <f t="shared" si="6"/>
        <v>#REF!</v>
      </c>
      <c r="BG25" s="221" t="e">
        <f t="shared" si="4"/>
        <v>#REF!</v>
      </c>
      <c r="BK25" s="345">
        <v>-13</v>
      </c>
      <c r="BL25" s="345"/>
      <c r="BM25" s="345">
        <f t="shared" si="10"/>
        <v>-13</v>
      </c>
      <c r="BN25" s="470"/>
    </row>
    <row r="26" spans="1:66" outlineLevel="2" x14ac:dyDescent="0.25">
      <c r="A26">
        <v>22</v>
      </c>
      <c r="B26" s="402" t="s">
        <v>370</v>
      </c>
      <c r="C26" s="403" t="s">
        <v>369</v>
      </c>
      <c r="D26" s="47">
        <v>-14.333</v>
      </c>
      <c r="E26" s="47"/>
      <c r="F26" s="54">
        <f t="shared" si="19"/>
        <v>-14.333</v>
      </c>
      <c r="G26" s="32"/>
      <c r="H26" s="32"/>
      <c r="I26" s="47">
        <v>-15.3</v>
      </c>
      <c r="J26" s="47">
        <v>0</v>
      </c>
      <c r="K26" s="54">
        <f t="shared" si="20"/>
        <v>-15.3</v>
      </c>
      <c r="L26" s="32"/>
      <c r="M26" s="32"/>
      <c r="N26" s="54" t="e">
        <f>-SUMIF(#REF!,$C26,#REF!)/1000</f>
        <v>#REF!</v>
      </c>
      <c r="O26" s="54" t="e">
        <f>SUMIF(#REF!,$C26,#REF!)/1000</f>
        <v>#REF!</v>
      </c>
      <c r="P26" s="54" t="e">
        <f t="shared" si="21"/>
        <v>#REF!</v>
      </c>
      <c r="Q26" s="54"/>
      <c r="R26" s="187">
        <v>0</v>
      </c>
      <c r="S26" s="187">
        <v>0</v>
      </c>
      <c r="T26" s="187">
        <f>R26+S26</f>
        <v>0</v>
      </c>
      <c r="U26" s="32"/>
      <c r="V26" s="454">
        <v>-10.679489999999999</v>
      </c>
      <c r="W26" s="454">
        <v>0</v>
      </c>
      <c r="X26" s="454">
        <f t="shared" ref="X26:X33" si="22">V26+W26</f>
        <v>-10.679489999999999</v>
      </c>
      <c r="Y26" s="54"/>
      <c r="Z26" s="54"/>
      <c r="AA26" s="32"/>
      <c r="AB26" s="461">
        <v>-15</v>
      </c>
      <c r="AC26" s="461">
        <v>0</v>
      </c>
      <c r="AD26" s="461">
        <f>AB26+AC26</f>
        <v>-15</v>
      </c>
      <c r="AE26" s="191"/>
      <c r="AF26" s="191"/>
      <c r="AG26" s="54" t="s">
        <v>287</v>
      </c>
      <c r="AH26" s="32"/>
      <c r="AI26" s="148">
        <v>-7.8954800000000001</v>
      </c>
      <c r="AJ26" s="148">
        <v>0</v>
      </c>
      <c r="AK26" s="148">
        <v>-7.8954800000000001</v>
      </c>
      <c r="AL26" s="20"/>
      <c r="AM26" s="20"/>
      <c r="AN26" s="20"/>
      <c r="AO26" s="20"/>
      <c r="AP26" s="339">
        <v>-15</v>
      </c>
      <c r="AQ26" s="339"/>
      <c r="AR26" s="339">
        <f t="shared" si="5"/>
        <v>-15</v>
      </c>
      <c r="AS26" s="225"/>
      <c r="AT26" s="225"/>
      <c r="AU26" s="225"/>
      <c r="AV26" s="20"/>
      <c r="AW26" s="332">
        <v>-15.043709999999999</v>
      </c>
      <c r="AX26" s="332">
        <v>0</v>
      </c>
      <c r="AY26" s="332">
        <f t="shared" si="3"/>
        <v>-15.043709999999999</v>
      </c>
      <c r="AZ26" s="20"/>
      <c r="BA26" s="20"/>
      <c r="BB26" s="20"/>
      <c r="BC26" s="20"/>
      <c r="BD26" s="221" t="e">
        <f>-SUMIF(#REF!,Instances!$C26,#REF!)/1000</f>
        <v>#REF!</v>
      </c>
      <c r="BE26" s="221" t="e">
        <f>SUMIF(#REF!,Instances!$C26,#REF!)/1000</f>
        <v>#REF!</v>
      </c>
      <c r="BF26" s="221" t="e">
        <f t="shared" si="6"/>
        <v>#REF!</v>
      </c>
      <c r="BG26" s="221" t="e">
        <f t="shared" si="4"/>
        <v>#REF!</v>
      </c>
      <c r="BK26" s="345">
        <v>-15</v>
      </c>
      <c r="BL26" s="345"/>
      <c r="BM26" s="345">
        <f t="shared" si="10"/>
        <v>-15</v>
      </c>
      <c r="BN26" s="470"/>
    </row>
    <row r="27" spans="1:66" outlineLevel="2" x14ac:dyDescent="0.25">
      <c r="A27">
        <v>23</v>
      </c>
      <c r="B27" s="400" t="s">
        <v>236</v>
      </c>
      <c r="C27" s="403"/>
      <c r="D27" s="47"/>
      <c r="E27" s="47"/>
      <c r="F27" s="54">
        <f t="shared" si="19"/>
        <v>0</v>
      </c>
      <c r="G27" s="32"/>
      <c r="H27" s="32"/>
      <c r="I27" s="47">
        <v>-2.9</v>
      </c>
      <c r="J27" s="47">
        <v>0</v>
      </c>
      <c r="K27" s="54">
        <f t="shared" si="20"/>
        <v>-2.9</v>
      </c>
      <c r="L27" s="32"/>
      <c r="M27" s="32"/>
      <c r="N27" s="54" t="e">
        <f>-SUMIF(#REF!,$C27,#REF!)/1000</f>
        <v>#REF!</v>
      </c>
      <c r="O27" s="54" t="e">
        <f>SUMIF(#REF!,$C27,#REF!)/1000</f>
        <v>#REF!</v>
      </c>
      <c r="P27" s="54" t="e">
        <f t="shared" si="21"/>
        <v>#REF!</v>
      </c>
      <c r="Q27" s="54"/>
      <c r="R27" s="187">
        <v>-13</v>
      </c>
      <c r="S27" s="187"/>
      <c r="T27" s="187">
        <f>R27+S27</f>
        <v>-13</v>
      </c>
      <c r="U27" s="32"/>
      <c r="V27" s="454">
        <v>0</v>
      </c>
      <c r="W27" s="454">
        <v>0</v>
      </c>
      <c r="X27" s="454">
        <f t="shared" si="22"/>
        <v>0</v>
      </c>
      <c r="Y27" s="54"/>
      <c r="Z27" s="54"/>
      <c r="AA27" s="32"/>
      <c r="AB27" s="461">
        <v>0</v>
      </c>
      <c r="AC27" s="461">
        <v>0</v>
      </c>
      <c r="AD27" s="466"/>
      <c r="AE27" s="191"/>
      <c r="AF27" s="191"/>
      <c r="AG27" s="54" t="s">
        <v>287</v>
      </c>
      <c r="AH27" s="32"/>
      <c r="AI27" s="148">
        <v>0</v>
      </c>
      <c r="AJ27" s="148">
        <v>0</v>
      </c>
      <c r="AK27" s="148">
        <v>0</v>
      </c>
      <c r="AL27" s="20"/>
      <c r="AM27" s="20"/>
      <c r="AN27" s="20"/>
      <c r="AO27" s="20"/>
      <c r="AP27" s="339"/>
      <c r="AQ27" s="339"/>
      <c r="AR27" s="339">
        <f t="shared" si="5"/>
        <v>0</v>
      </c>
      <c r="AS27" s="225"/>
      <c r="AT27" s="225"/>
      <c r="AU27" s="225"/>
      <c r="AV27" s="20"/>
      <c r="AW27" s="332">
        <v>0</v>
      </c>
      <c r="AX27" s="332">
        <v>0</v>
      </c>
      <c r="AY27" s="332">
        <f t="shared" si="3"/>
        <v>0</v>
      </c>
      <c r="AZ27" s="20"/>
      <c r="BA27" s="20"/>
      <c r="BB27" s="20"/>
      <c r="BC27" s="20"/>
      <c r="BD27" s="221" t="e">
        <f>-SUMIF(#REF!,Instances!$C27,#REF!)/1000</f>
        <v>#REF!</v>
      </c>
      <c r="BE27" s="221" t="e">
        <f>SUMIF(#REF!,Instances!$C27,#REF!)/1000</f>
        <v>#REF!</v>
      </c>
      <c r="BF27" s="221" t="e">
        <f t="shared" si="6"/>
        <v>#REF!</v>
      </c>
      <c r="BG27" s="221" t="e">
        <f t="shared" si="4"/>
        <v>#REF!</v>
      </c>
      <c r="BK27" s="345"/>
      <c r="BL27" s="345"/>
      <c r="BM27" s="345">
        <f t="shared" si="10"/>
        <v>0</v>
      </c>
      <c r="BN27" s="470"/>
    </row>
    <row r="28" spans="1:66" outlineLevel="2" x14ac:dyDescent="0.25">
      <c r="A28">
        <v>24</v>
      </c>
      <c r="B28" s="385" t="s">
        <v>237</v>
      </c>
      <c r="C28" s="403"/>
      <c r="D28" s="47"/>
      <c r="E28" s="47"/>
      <c r="F28" s="54">
        <f t="shared" si="19"/>
        <v>0</v>
      </c>
      <c r="G28" s="32"/>
      <c r="H28" s="32"/>
      <c r="I28" s="47">
        <v>-0.4</v>
      </c>
      <c r="J28" s="47">
        <v>0</v>
      </c>
      <c r="K28" s="54">
        <f t="shared" si="20"/>
        <v>-0.4</v>
      </c>
      <c r="L28" s="32"/>
      <c r="M28" s="32"/>
      <c r="N28" s="54" t="e">
        <f>-SUMIF(#REF!,$C28,#REF!)/1000</f>
        <v>#REF!</v>
      </c>
      <c r="O28" s="54" t="e">
        <f>SUMIF(#REF!,$C28,#REF!)/1000</f>
        <v>#REF!</v>
      </c>
      <c r="P28" s="54" t="e">
        <f t="shared" si="21"/>
        <v>#REF!</v>
      </c>
      <c r="Q28" s="54"/>
      <c r="R28" s="187">
        <v>-12</v>
      </c>
      <c r="S28" s="187"/>
      <c r="T28" s="187">
        <f>R28+S28</f>
        <v>-12</v>
      </c>
      <c r="U28" s="32"/>
      <c r="V28" s="454">
        <v>0</v>
      </c>
      <c r="W28" s="454">
        <v>0</v>
      </c>
      <c r="X28" s="454">
        <f t="shared" si="22"/>
        <v>0</v>
      </c>
      <c r="Y28" s="54"/>
      <c r="Z28" s="54"/>
      <c r="AA28" s="32"/>
      <c r="AB28" s="461">
        <v>0</v>
      </c>
      <c r="AC28" s="461">
        <v>0</v>
      </c>
      <c r="AD28" s="466"/>
      <c r="AE28" s="191"/>
      <c r="AF28" s="191"/>
      <c r="AG28" s="54" t="s">
        <v>287</v>
      </c>
      <c r="AH28" s="32"/>
      <c r="AI28" s="148">
        <v>0</v>
      </c>
      <c r="AJ28" s="148">
        <v>0</v>
      </c>
      <c r="AK28" s="148">
        <v>0</v>
      </c>
      <c r="AL28" s="20"/>
      <c r="AM28" s="20"/>
      <c r="AN28" s="20"/>
      <c r="AO28" s="20"/>
      <c r="AP28" s="339"/>
      <c r="AQ28" s="339"/>
      <c r="AR28" s="339">
        <f t="shared" si="5"/>
        <v>0</v>
      </c>
      <c r="AS28" s="225"/>
      <c r="AT28" s="225"/>
      <c r="AU28" s="225"/>
      <c r="AV28" s="20"/>
      <c r="AW28" s="332">
        <v>0</v>
      </c>
      <c r="AX28" s="332">
        <v>0</v>
      </c>
      <c r="AY28" s="332">
        <f t="shared" si="3"/>
        <v>0</v>
      </c>
      <c r="AZ28" s="20"/>
      <c r="BA28" s="20"/>
      <c r="BB28" s="20"/>
      <c r="BC28" s="20"/>
      <c r="BD28" s="221" t="e">
        <f>-SUMIF(#REF!,Instances!$C28,#REF!)/1000</f>
        <v>#REF!</v>
      </c>
      <c r="BE28" s="221" t="e">
        <f>SUMIF(#REF!,Instances!$C28,#REF!)/1000</f>
        <v>#REF!</v>
      </c>
      <c r="BF28" s="221" t="e">
        <f t="shared" si="6"/>
        <v>#REF!</v>
      </c>
      <c r="BG28" s="221" t="e">
        <f t="shared" si="4"/>
        <v>#REF!</v>
      </c>
      <c r="BK28" s="345"/>
      <c r="BL28" s="345"/>
      <c r="BM28" s="345">
        <f t="shared" si="10"/>
        <v>0</v>
      </c>
      <c r="BN28" s="470"/>
    </row>
    <row r="29" spans="1:66" outlineLevel="2" x14ac:dyDescent="0.25">
      <c r="A29">
        <v>25</v>
      </c>
      <c r="B29" s="402" t="s">
        <v>238</v>
      </c>
      <c r="C29" s="403"/>
      <c r="D29" s="47"/>
      <c r="E29" s="47"/>
      <c r="F29" s="54">
        <f t="shared" si="19"/>
        <v>0</v>
      </c>
      <c r="G29" s="32"/>
      <c r="H29" s="32"/>
      <c r="I29" s="47">
        <v>-0.8</v>
      </c>
      <c r="J29" s="47">
        <v>0</v>
      </c>
      <c r="K29" s="54">
        <f t="shared" si="20"/>
        <v>-0.8</v>
      </c>
      <c r="L29" s="32"/>
      <c r="M29" s="32"/>
      <c r="N29" s="54" t="e">
        <f>-SUMIF(#REF!,$C29,#REF!)/1000</f>
        <v>#REF!</v>
      </c>
      <c r="O29" s="54" t="e">
        <f>SUMIF(#REF!,$C29,#REF!)/1000</f>
        <v>#REF!</v>
      </c>
      <c r="P29" s="54" t="e">
        <f t="shared" si="21"/>
        <v>#REF!</v>
      </c>
      <c r="Q29" s="54"/>
      <c r="R29" s="187">
        <v>-12.8</v>
      </c>
      <c r="S29" s="187"/>
      <c r="T29" s="187">
        <f>R29+S29</f>
        <v>-12.8</v>
      </c>
      <c r="U29" s="32"/>
      <c r="V29" s="454">
        <v>0</v>
      </c>
      <c r="W29" s="454">
        <v>0</v>
      </c>
      <c r="X29" s="454">
        <f t="shared" si="22"/>
        <v>0</v>
      </c>
      <c r="Y29" s="54"/>
      <c r="Z29" s="54"/>
      <c r="AA29" s="32"/>
      <c r="AB29" s="461">
        <v>0</v>
      </c>
      <c r="AC29" s="461">
        <v>0</v>
      </c>
      <c r="AD29" s="461">
        <f>AB29+AC29</f>
        <v>0</v>
      </c>
      <c r="AE29" s="191"/>
      <c r="AF29" s="191"/>
      <c r="AG29" s="54" t="s">
        <v>287</v>
      </c>
      <c r="AH29" s="32"/>
      <c r="AI29" s="148">
        <v>0</v>
      </c>
      <c r="AJ29" s="148">
        <v>0</v>
      </c>
      <c r="AK29" s="148">
        <v>0</v>
      </c>
      <c r="AL29" s="20"/>
      <c r="AM29" s="20"/>
      <c r="AN29" s="20"/>
      <c r="AO29" s="20"/>
      <c r="AP29" s="339"/>
      <c r="AQ29" s="339"/>
      <c r="AR29" s="339">
        <f t="shared" si="5"/>
        <v>0</v>
      </c>
      <c r="AS29" s="225"/>
      <c r="AT29" s="225"/>
      <c r="AU29" s="225"/>
      <c r="AV29" s="20"/>
      <c r="AW29" s="332">
        <v>0</v>
      </c>
      <c r="AX29" s="332">
        <v>0</v>
      </c>
      <c r="AY29" s="332">
        <f t="shared" si="3"/>
        <v>0</v>
      </c>
      <c r="AZ29" s="20"/>
      <c r="BA29" s="20"/>
      <c r="BB29" s="20"/>
      <c r="BC29" s="20"/>
      <c r="BD29" s="221" t="e">
        <f>-SUMIF(#REF!,Instances!$C29,#REF!)/1000</f>
        <v>#REF!</v>
      </c>
      <c r="BE29" s="221" t="e">
        <f>SUMIF(#REF!,Instances!$C29,#REF!)/1000</f>
        <v>#REF!</v>
      </c>
      <c r="BF29" s="221" t="e">
        <f t="shared" si="6"/>
        <v>#REF!</v>
      </c>
      <c r="BG29" s="221" t="e">
        <f t="shared" si="4"/>
        <v>#REF!</v>
      </c>
      <c r="BK29" s="345"/>
      <c r="BL29" s="345"/>
      <c r="BM29" s="345">
        <f t="shared" si="10"/>
        <v>0</v>
      </c>
      <c r="BN29" s="470"/>
    </row>
    <row r="30" spans="1:66" outlineLevel="2" x14ac:dyDescent="0.25">
      <c r="A30">
        <v>26</v>
      </c>
      <c r="B30" s="402" t="s">
        <v>288</v>
      </c>
      <c r="C30" s="403" t="s">
        <v>371</v>
      </c>
      <c r="D30" s="47"/>
      <c r="E30" s="47"/>
      <c r="F30" s="54"/>
      <c r="G30" s="32"/>
      <c r="H30" s="32"/>
      <c r="I30" s="47"/>
      <c r="J30" s="47"/>
      <c r="K30" s="54"/>
      <c r="L30" s="32"/>
      <c r="M30" s="32"/>
      <c r="N30" s="54" t="e">
        <f>-SUMIF(#REF!,$C30,#REF!)/1000</f>
        <v>#REF!</v>
      </c>
      <c r="O30" s="54" t="e">
        <f>SUMIF(#REF!,$C30,#REF!)/1000</f>
        <v>#REF!</v>
      </c>
      <c r="P30" s="54" t="e">
        <f t="shared" si="21"/>
        <v>#REF!</v>
      </c>
      <c r="Q30" s="54"/>
      <c r="R30" s="187"/>
      <c r="S30" s="187"/>
      <c r="T30" s="187"/>
      <c r="U30" s="32"/>
      <c r="V30" s="454">
        <v>0</v>
      </c>
      <c r="W30" s="454">
        <v>0</v>
      </c>
      <c r="X30" s="454">
        <f t="shared" si="22"/>
        <v>0</v>
      </c>
      <c r="Y30" s="54"/>
      <c r="Z30" s="54"/>
      <c r="AA30" s="32"/>
      <c r="AB30" s="461">
        <v>0</v>
      </c>
      <c r="AC30" s="461">
        <v>0</v>
      </c>
      <c r="AD30" s="461">
        <f>AB30+AC30</f>
        <v>0</v>
      </c>
      <c r="AE30" s="191"/>
      <c r="AF30" s="191"/>
      <c r="AG30" s="54" t="s">
        <v>287</v>
      </c>
      <c r="AH30" s="32"/>
      <c r="AI30" s="148">
        <v>-0.40891</v>
      </c>
      <c r="AJ30" s="148">
        <v>0</v>
      </c>
      <c r="AK30" s="148">
        <v>-0.40891</v>
      </c>
      <c r="AL30" s="20"/>
      <c r="AM30" s="20"/>
      <c r="AN30" s="20"/>
      <c r="AO30" s="20"/>
      <c r="AP30" s="339">
        <v>-2.5</v>
      </c>
      <c r="AQ30" s="339"/>
      <c r="AR30" s="339">
        <f t="shared" si="5"/>
        <v>-2.5</v>
      </c>
      <c r="AS30" s="225"/>
      <c r="AT30" s="225"/>
      <c r="AU30" s="225"/>
      <c r="AV30" s="20"/>
      <c r="AW30" s="332">
        <v>-2.8256900000000003</v>
      </c>
      <c r="AX30" s="332">
        <v>0</v>
      </c>
      <c r="AY30" s="332">
        <f t="shared" si="3"/>
        <v>-2.8256900000000003</v>
      </c>
      <c r="AZ30" s="20"/>
      <c r="BA30" s="20"/>
      <c r="BB30" s="20"/>
      <c r="BC30" s="20"/>
      <c r="BD30" s="221" t="e">
        <f>-SUMIF(#REF!,Instances!$C30,#REF!)/1000</f>
        <v>#REF!</v>
      </c>
      <c r="BE30" s="221" t="e">
        <f>SUMIF(#REF!,Instances!$C30,#REF!)/1000</f>
        <v>#REF!</v>
      </c>
      <c r="BF30" s="221" t="e">
        <f t="shared" si="6"/>
        <v>#REF!</v>
      </c>
      <c r="BG30" s="221" t="e">
        <f t="shared" si="4"/>
        <v>#REF!</v>
      </c>
      <c r="BK30" s="345">
        <v>-2.5</v>
      </c>
      <c r="BL30" s="345"/>
      <c r="BM30" s="345">
        <f t="shared" si="10"/>
        <v>-2.5</v>
      </c>
      <c r="BN30" s="470"/>
    </row>
    <row r="31" spans="1:66" outlineLevel="2" x14ac:dyDescent="0.25">
      <c r="A31">
        <v>27</v>
      </c>
      <c r="B31" s="402" t="s">
        <v>289</v>
      </c>
      <c r="C31" s="403" t="s">
        <v>372</v>
      </c>
      <c r="D31" s="47"/>
      <c r="E31" s="47"/>
      <c r="F31" s="54"/>
      <c r="G31" s="32"/>
      <c r="H31" s="32"/>
      <c r="I31" s="47"/>
      <c r="J31" s="47"/>
      <c r="K31" s="54"/>
      <c r="L31" s="32"/>
      <c r="M31" s="32"/>
      <c r="N31" s="54" t="e">
        <f>-SUMIF(#REF!,$C31,#REF!)/1000</f>
        <v>#REF!</v>
      </c>
      <c r="O31" s="54" t="e">
        <f>SUMIF(#REF!,$C31,#REF!)/1000</f>
        <v>#REF!</v>
      </c>
      <c r="P31" s="54" t="e">
        <f t="shared" si="21"/>
        <v>#REF!</v>
      </c>
      <c r="Q31" s="54"/>
      <c r="R31" s="187"/>
      <c r="S31" s="187"/>
      <c r="T31" s="187"/>
      <c r="U31" s="32"/>
      <c r="V31" s="454">
        <v>-0.5202</v>
      </c>
      <c r="W31" s="454">
        <v>0</v>
      </c>
      <c r="X31" s="454">
        <f t="shared" si="22"/>
        <v>-0.5202</v>
      </c>
      <c r="Y31" s="54"/>
      <c r="Z31" s="54"/>
      <c r="AA31" s="32"/>
      <c r="AB31" s="461">
        <v>0</v>
      </c>
      <c r="AC31" s="461">
        <v>0</v>
      </c>
      <c r="AD31" s="461">
        <f>AB31+AC31</f>
        <v>0</v>
      </c>
      <c r="AE31" s="191"/>
      <c r="AF31" s="191"/>
      <c r="AG31" s="54" t="s">
        <v>287</v>
      </c>
      <c r="AH31" s="32"/>
      <c r="AI31" s="148">
        <v>0</v>
      </c>
      <c r="AJ31" s="148">
        <v>0</v>
      </c>
      <c r="AK31" s="148">
        <v>0</v>
      </c>
      <c r="AL31" s="20"/>
      <c r="AM31" s="20"/>
      <c r="AN31" s="20"/>
      <c r="AO31" s="20"/>
      <c r="AP31" s="339"/>
      <c r="AQ31" s="339"/>
      <c r="AR31" s="339">
        <f t="shared" si="5"/>
        <v>0</v>
      </c>
      <c r="AS31" s="225"/>
      <c r="AT31" s="225"/>
      <c r="AU31" s="225"/>
      <c r="AV31" s="20"/>
      <c r="AW31" s="332">
        <v>0</v>
      </c>
      <c r="AX31" s="332">
        <v>0</v>
      </c>
      <c r="AY31" s="332">
        <f t="shared" si="3"/>
        <v>0</v>
      </c>
      <c r="AZ31" s="20"/>
      <c r="BA31" s="20"/>
      <c r="BB31" s="20"/>
      <c r="BC31" s="20"/>
      <c r="BD31" s="221" t="e">
        <f>-SUMIF(#REF!,Instances!$C31,#REF!)/1000</f>
        <v>#REF!</v>
      </c>
      <c r="BE31" s="221" t="e">
        <f>SUMIF(#REF!,Instances!$C31,#REF!)/1000</f>
        <v>#REF!</v>
      </c>
      <c r="BF31" s="221" t="e">
        <f t="shared" si="6"/>
        <v>#REF!</v>
      </c>
      <c r="BG31" s="221" t="e">
        <f t="shared" si="4"/>
        <v>#REF!</v>
      </c>
      <c r="BK31" s="345"/>
      <c r="BL31" s="345"/>
      <c r="BM31" s="345">
        <f t="shared" si="10"/>
        <v>0</v>
      </c>
      <c r="BN31" s="470"/>
    </row>
    <row r="32" spans="1:66" outlineLevel="2" x14ac:dyDescent="0.25">
      <c r="A32">
        <v>28</v>
      </c>
      <c r="B32" s="402" t="s">
        <v>290</v>
      </c>
      <c r="C32" s="403" t="s">
        <v>373</v>
      </c>
      <c r="D32" s="47">
        <v>-1.54</v>
      </c>
      <c r="E32" s="47"/>
      <c r="F32" s="54">
        <f t="shared" ref="F32:F35" si="23">SUM(D32:E32)</f>
        <v>-1.54</v>
      </c>
      <c r="G32" s="32"/>
      <c r="H32" s="32"/>
      <c r="I32" s="47">
        <v>-3.4</v>
      </c>
      <c r="J32" s="47">
        <v>0</v>
      </c>
      <c r="K32" s="54">
        <f t="shared" si="20"/>
        <v>-3.4</v>
      </c>
      <c r="L32" s="32"/>
      <c r="M32" s="32"/>
      <c r="N32" s="54" t="e">
        <f>-SUMIF(#REF!,$C32,#REF!)/1000</f>
        <v>#REF!</v>
      </c>
      <c r="O32" s="54" t="e">
        <f>SUMIF(#REF!,$C32,#REF!)/1000</f>
        <v>#REF!</v>
      </c>
      <c r="P32" s="54" t="e">
        <f t="shared" si="21"/>
        <v>#REF!</v>
      </c>
      <c r="Q32" s="54"/>
      <c r="R32" s="187">
        <v>-3.5</v>
      </c>
      <c r="S32" s="187">
        <v>0</v>
      </c>
      <c r="T32" s="187">
        <f>R32+S32</f>
        <v>-3.5</v>
      </c>
      <c r="U32" s="32"/>
      <c r="V32" s="454">
        <v>-0.75075000000000003</v>
      </c>
      <c r="W32" s="454">
        <v>0</v>
      </c>
      <c r="X32" s="454">
        <f t="shared" si="22"/>
        <v>-0.75075000000000003</v>
      </c>
      <c r="Y32" s="54"/>
      <c r="Z32" s="54"/>
      <c r="AA32" s="32"/>
      <c r="AB32" s="461">
        <v>-2.5</v>
      </c>
      <c r="AC32" s="461">
        <v>0</v>
      </c>
      <c r="AD32" s="461">
        <f>AB32+AC32</f>
        <v>-2.5</v>
      </c>
      <c r="AE32" s="191"/>
      <c r="AF32" s="191"/>
      <c r="AG32" s="54" t="s">
        <v>287</v>
      </c>
      <c r="AH32" s="32"/>
      <c r="AI32" s="148">
        <v>0</v>
      </c>
      <c r="AJ32" s="148">
        <v>0</v>
      </c>
      <c r="AK32" s="148">
        <v>0</v>
      </c>
      <c r="AL32" s="20"/>
      <c r="AM32" s="20"/>
      <c r="AN32" s="20"/>
      <c r="AO32" s="20"/>
      <c r="AP32" s="339"/>
      <c r="AQ32" s="339"/>
      <c r="AR32" s="339">
        <f t="shared" si="5"/>
        <v>0</v>
      </c>
      <c r="AS32" s="225"/>
      <c r="AT32" s="225"/>
      <c r="AU32" s="225"/>
      <c r="AV32" s="20"/>
      <c r="AW32" s="332">
        <v>-0.49313999999999997</v>
      </c>
      <c r="AX32" s="332">
        <v>0</v>
      </c>
      <c r="AY32" s="332">
        <f t="shared" si="3"/>
        <v>-0.49313999999999997</v>
      </c>
      <c r="AZ32" s="20"/>
      <c r="BA32" s="20"/>
      <c r="BB32" s="20"/>
      <c r="BC32" s="20"/>
      <c r="BD32" s="221" t="e">
        <f>-SUMIF(#REF!,Instances!$C32,#REF!)/1000</f>
        <v>#REF!</v>
      </c>
      <c r="BE32" s="221" t="e">
        <f>SUMIF(#REF!,Instances!$C32,#REF!)/1000</f>
        <v>#REF!</v>
      </c>
      <c r="BF32" s="221" t="e">
        <f t="shared" si="6"/>
        <v>#REF!</v>
      </c>
      <c r="BG32" s="221" t="e">
        <f t="shared" si="4"/>
        <v>#REF!</v>
      </c>
      <c r="BK32" s="345"/>
      <c r="BL32" s="345"/>
      <c r="BM32" s="345">
        <f t="shared" si="10"/>
        <v>0</v>
      </c>
      <c r="BN32" s="470"/>
    </row>
    <row r="33" spans="1:66" outlineLevel="2" x14ac:dyDescent="0.25">
      <c r="A33">
        <v>29</v>
      </c>
      <c r="B33" s="402" t="s">
        <v>291</v>
      </c>
      <c r="C33" s="403" t="s">
        <v>374</v>
      </c>
      <c r="D33" s="47"/>
      <c r="E33" s="47"/>
      <c r="F33" s="54">
        <f t="shared" si="23"/>
        <v>0</v>
      </c>
      <c r="G33" s="32"/>
      <c r="H33" s="32"/>
      <c r="I33" s="47">
        <v>-3</v>
      </c>
      <c r="J33" s="47">
        <v>0</v>
      </c>
      <c r="K33" s="54">
        <f t="shared" si="20"/>
        <v>-3</v>
      </c>
      <c r="L33" s="32"/>
      <c r="M33" s="32"/>
      <c r="N33" s="54" t="e">
        <f>-SUMIF(#REF!,$C33,#REF!)/1000</f>
        <v>#REF!</v>
      </c>
      <c r="O33" s="54" t="e">
        <f>SUMIF(#REF!,$C33,#REF!)/1000</f>
        <v>#REF!</v>
      </c>
      <c r="P33" s="54" t="e">
        <f t="shared" si="21"/>
        <v>#REF!</v>
      </c>
      <c r="Q33" s="54"/>
      <c r="R33" s="189">
        <v>0</v>
      </c>
      <c r="S33" s="189"/>
      <c r="T33" s="189">
        <f>R33+S33</f>
        <v>0</v>
      </c>
      <c r="U33" s="32"/>
      <c r="V33" s="456">
        <v>-2.738</v>
      </c>
      <c r="W33" s="456">
        <v>0</v>
      </c>
      <c r="X33" s="456">
        <f t="shared" si="22"/>
        <v>-2.738</v>
      </c>
      <c r="Y33" s="54"/>
      <c r="Z33" s="54"/>
      <c r="AA33" s="32"/>
      <c r="AB33" s="467">
        <v>0</v>
      </c>
      <c r="AC33" s="467">
        <v>0</v>
      </c>
      <c r="AD33" s="467">
        <f>AB33+AC33</f>
        <v>0</v>
      </c>
      <c r="AE33" s="191"/>
      <c r="AF33" s="191"/>
      <c r="AG33" s="54" t="s">
        <v>287</v>
      </c>
      <c r="AH33" s="32"/>
      <c r="AI33" s="148">
        <v>0</v>
      </c>
      <c r="AJ33" s="148">
        <v>0.38639999999999997</v>
      </c>
      <c r="AK33" s="148">
        <v>0.38639999999999997</v>
      </c>
      <c r="AL33" s="20"/>
      <c r="AM33" s="20"/>
      <c r="AN33" s="20"/>
      <c r="AO33" s="20"/>
      <c r="AP33" s="339"/>
      <c r="AQ33" s="339"/>
      <c r="AR33" s="339">
        <f t="shared" si="5"/>
        <v>0</v>
      </c>
      <c r="AS33" s="225"/>
      <c r="AT33" s="225"/>
      <c r="AU33" s="225"/>
      <c r="AV33" s="20"/>
      <c r="AW33" s="332">
        <v>-8.6400000000000005E-2</v>
      </c>
      <c r="AX33" s="332">
        <v>0.38639999999999997</v>
      </c>
      <c r="AY33" s="332">
        <f t="shared" si="3"/>
        <v>0.29999999999999993</v>
      </c>
      <c r="AZ33" s="20"/>
      <c r="BA33" s="20"/>
      <c r="BB33" s="20"/>
      <c r="BC33" s="20"/>
      <c r="BD33" s="221" t="e">
        <f>-SUMIF(#REF!,Instances!$C33,#REF!)/1000</f>
        <v>#REF!</v>
      </c>
      <c r="BE33" s="221" t="e">
        <f>SUMIF(#REF!,Instances!$C33,#REF!)/1000</f>
        <v>#REF!</v>
      </c>
      <c r="BF33" s="221" t="e">
        <f t="shared" si="6"/>
        <v>#REF!</v>
      </c>
      <c r="BG33" s="221" t="e">
        <f t="shared" si="4"/>
        <v>#REF!</v>
      </c>
      <c r="BK33" s="345"/>
      <c r="BL33" s="345"/>
      <c r="BM33" s="345">
        <f t="shared" si="10"/>
        <v>0</v>
      </c>
      <c r="BN33" s="470"/>
    </row>
    <row r="34" spans="1:66" x14ac:dyDescent="0.25">
      <c r="A34">
        <v>30</v>
      </c>
      <c r="B34" s="387" t="s">
        <v>292</v>
      </c>
      <c r="C34" s="388"/>
      <c r="D34" s="66">
        <f>SUM(D25:D33)</f>
        <v>-28.995999999999999</v>
      </c>
      <c r="E34" s="66"/>
      <c r="F34" s="67">
        <f t="shared" si="23"/>
        <v>-28.995999999999999</v>
      </c>
      <c r="G34" s="32"/>
      <c r="H34" s="32"/>
      <c r="I34" s="66">
        <f>SUM(I25:I33)</f>
        <v>-36</v>
      </c>
      <c r="J34" s="66">
        <f>SUM(J25:J33)</f>
        <v>0</v>
      </c>
      <c r="K34" s="67">
        <f t="shared" si="20"/>
        <v>-36</v>
      </c>
      <c r="L34" s="32"/>
      <c r="M34" s="32"/>
      <c r="N34" s="67" t="e">
        <f>SUM(N25:N33)</f>
        <v>#REF!</v>
      </c>
      <c r="O34" s="67" t="e">
        <f>SUM(O25:O33)</f>
        <v>#REF!</v>
      </c>
      <c r="P34" s="67" t="e">
        <f>SUM(P25:P33)</f>
        <v>#REF!</v>
      </c>
      <c r="Q34" s="68"/>
      <c r="R34" s="92">
        <f>SUM(R25:R33)</f>
        <v>-68.3</v>
      </c>
      <c r="S34" s="92">
        <f>SUM(S25:S33)</f>
        <v>0</v>
      </c>
      <c r="T34" s="92">
        <f>SUM(T25:T33)</f>
        <v>-68.3</v>
      </c>
      <c r="U34" s="32"/>
      <c r="V34" s="410">
        <f>SUM(V25:V33)</f>
        <v>-19.11279</v>
      </c>
      <c r="W34" s="410">
        <f>SUM(W25:W33)</f>
        <v>3.9500000000000004E-3</v>
      </c>
      <c r="X34" s="410">
        <f>SUM(X25:X33)</f>
        <v>-19.108840000000001</v>
      </c>
      <c r="Y34" s="67"/>
      <c r="Z34" s="67">
        <f t="shared" ref="Z34" si="24">SUM(Z25:Z33)</f>
        <v>0</v>
      </c>
      <c r="AA34" s="32"/>
      <c r="AB34" s="464">
        <f>SUM(AB25:AB33)</f>
        <v>-25.5</v>
      </c>
      <c r="AC34" s="464">
        <f>SUM(AC25:AC33)</f>
        <v>0</v>
      </c>
      <c r="AD34" s="464">
        <f>SUM(AD25:AD33)</f>
        <v>-25.5</v>
      </c>
      <c r="AE34" s="67"/>
      <c r="AF34" s="67"/>
      <c r="AG34" s="67"/>
      <c r="AH34" s="32"/>
      <c r="AI34" s="149">
        <f>SUM(AI25:AI33)</f>
        <v>-13.65896</v>
      </c>
      <c r="AJ34" s="149">
        <f>SUM(AJ25:AJ33)</f>
        <v>0.47866999999999993</v>
      </c>
      <c r="AK34" s="149">
        <f>AJ34+AI34</f>
        <v>-13.180290000000001</v>
      </c>
      <c r="AL34" s="26"/>
      <c r="AM34" s="26"/>
      <c r="AN34" s="26"/>
      <c r="AO34" s="81"/>
      <c r="AP34" s="340">
        <f>SUM(AP25:AP33)</f>
        <v>-25.5</v>
      </c>
      <c r="AQ34" s="340">
        <f>SUM(AQ25:AQ33)</f>
        <v>0</v>
      </c>
      <c r="AR34" s="340">
        <f t="shared" si="5"/>
        <v>-25.5</v>
      </c>
      <c r="AS34" s="225"/>
      <c r="AT34" s="225"/>
      <c r="AU34" s="225"/>
      <c r="AV34" s="20"/>
      <c r="AW34" s="333">
        <f>SUM(AW25:AW33)</f>
        <v>-32.507029999999993</v>
      </c>
      <c r="AX34" s="333">
        <f>SUM(AX25:AX33)</f>
        <v>0.38639999999999997</v>
      </c>
      <c r="AY34" s="333">
        <f t="shared" si="3"/>
        <v>-32.120629999999991</v>
      </c>
      <c r="AZ34" s="81"/>
      <c r="BA34" s="81"/>
      <c r="BB34" s="81"/>
      <c r="BC34" s="81"/>
      <c r="BD34" s="227" t="e">
        <f>SUM(BD25:BD33)</f>
        <v>#REF!</v>
      </c>
      <c r="BE34" s="227" t="e">
        <f>SUM(BE25:BE33)</f>
        <v>#REF!</v>
      </c>
      <c r="BF34" s="227" t="e">
        <f t="shared" si="6"/>
        <v>#REF!</v>
      </c>
      <c r="BG34" s="221" t="e">
        <f t="shared" si="4"/>
        <v>#REF!</v>
      </c>
      <c r="BK34" s="346">
        <f>SUM(BK25:BK33)</f>
        <v>-30.5</v>
      </c>
      <c r="BL34" s="346">
        <f>SUM(BL25:BL33)</f>
        <v>0</v>
      </c>
      <c r="BM34" s="346">
        <f t="shared" si="10"/>
        <v>-30.5</v>
      </c>
      <c r="BN34" s="471"/>
    </row>
    <row r="35" spans="1:66" x14ac:dyDescent="0.25">
      <c r="A35">
        <v>31</v>
      </c>
      <c r="B35" s="387" t="s">
        <v>293</v>
      </c>
      <c r="C35" s="388"/>
      <c r="D35" s="66">
        <f>SUM(D34+D24)</f>
        <v>-87.972999999999999</v>
      </c>
      <c r="E35" s="66">
        <f>SUM(E34+E24)</f>
        <v>9.1880000000000006</v>
      </c>
      <c r="F35" s="67">
        <f t="shared" si="23"/>
        <v>-78.784999999999997</v>
      </c>
      <c r="G35" s="32"/>
      <c r="H35" s="32"/>
      <c r="I35" s="66">
        <f>SUM(I34+I24)</f>
        <v>-105.38</v>
      </c>
      <c r="J35" s="66">
        <f>SUM(J34+J24)</f>
        <v>11.479999999999999</v>
      </c>
      <c r="K35" s="67">
        <f t="shared" si="20"/>
        <v>-93.899999999999991</v>
      </c>
      <c r="L35" s="32"/>
      <c r="M35" s="32"/>
      <c r="N35" s="67" t="e">
        <f>SUM(N34,N24)</f>
        <v>#REF!</v>
      </c>
      <c r="O35" s="67" t="e">
        <f>SUM(O34,O24)</f>
        <v>#REF!</v>
      </c>
      <c r="P35" s="67" t="e">
        <f>SUM(P34,P24)</f>
        <v>#REF!</v>
      </c>
      <c r="Q35" s="68"/>
      <c r="R35" s="92">
        <f>SUM(R34,R24)</f>
        <v>-125.1</v>
      </c>
      <c r="S35" s="92">
        <f>SUM(S34,S24)</f>
        <v>5</v>
      </c>
      <c r="T35" s="92">
        <f>SUM(T34,T24)</f>
        <v>-120.1</v>
      </c>
      <c r="U35" s="32"/>
      <c r="V35" s="410">
        <f>SUM(V34,V24)</f>
        <v>-28.542159999999999</v>
      </c>
      <c r="W35" s="410">
        <f>SUM(W34,W24)</f>
        <v>4.1057799999999993</v>
      </c>
      <c r="X35" s="410">
        <f>SUM(X34,X24)</f>
        <v>-24.43638</v>
      </c>
      <c r="Y35" s="67"/>
      <c r="Z35" s="67">
        <f t="shared" ref="Z35" si="25">SUM(Z34,Z24)</f>
        <v>0</v>
      </c>
      <c r="AA35" s="32"/>
      <c r="AB35" s="464">
        <f>SUM(AB34,AB24)</f>
        <v>-50</v>
      </c>
      <c r="AC35" s="464">
        <f>SUM(AC34,AC24)</f>
        <v>0</v>
      </c>
      <c r="AD35" s="464">
        <f>SUM(AD34,AD24)</f>
        <v>-50</v>
      </c>
      <c r="AE35" s="67"/>
      <c r="AF35" s="67"/>
      <c r="AG35" s="67"/>
      <c r="AH35" s="32"/>
      <c r="AI35" s="149">
        <f>SUM(AI34,AI24)</f>
        <v>-41.846049999999998</v>
      </c>
      <c r="AJ35" s="149">
        <f>SUM(AJ34,AJ24)</f>
        <v>5.65998</v>
      </c>
      <c r="AK35" s="149">
        <f>AJ35+AI35</f>
        <v>-36.186070000000001</v>
      </c>
      <c r="AL35" s="26"/>
      <c r="AM35" s="26"/>
      <c r="AN35" s="26"/>
      <c r="AO35" s="81"/>
      <c r="AP35" s="340">
        <f>SUM(AP34,AP24)</f>
        <v>-68.5</v>
      </c>
      <c r="AQ35" s="340">
        <f>SUM(AQ34,AQ24)</f>
        <v>1</v>
      </c>
      <c r="AR35" s="340">
        <f t="shared" si="5"/>
        <v>-67.5</v>
      </c>
      <c r="AS35" s="225"/>
      <c r="AT35" s="225"/>
      <c r="AU35" s="225"/>
      <c r="AV35" s="20"/>
      <c r="AW35" s="333">
        <f>SUM(AW34,AW24)</f>
        <v>-59.686419999999991</v>
      </c>
      <c r="AX35" s="333">
        <f>SUM(AX34,AX24)</f>
        <v>6.3343800000000012</v>
      </c>
      <c r="AY35" s="333">
        <f t="shared" si="3"/>
        <v>-53.352039999999988</v>
      </c>
      <c r="AZ35" s="81"/>
      <c r="BA35" s="81"/>
      <c r="BB35" s="81"/>
      <c r="BC35" s="81"/>
      <c r="BD35" s="227" t="e">
        <f>SUM(BD34,BD24)</f>
        <v>#REF!</v>
      </c>
      <c r="BE35" s="227" t="e">
        <f>SUM(BE34,BE24)</f>
        <v>#REF!</v>
      </c>
      <c r="BF35" s="227" t="e">
        <f t="shared" si="6"/>
        <v>#REF!</v>
      </c>
      <c r="BG35" s="221" t="e">
        <f t="shared" si="4"/>
        <v>#REF!</v>
      </c>
      <c r="BK35" s="346">
        <f>SUM(BK34,BK24)</f>
        <v>-70.8</v>
      </c>
      <c r="BL35" s="346">
        <f>SUM(BL34,BL24)</f>
        <v>1</v>
      </c>
      <c r="BM35" s="346">
        <f t="shared" si="10"/>
        <v>-69.8</v>
      </c>
      <c r="BN35" s="471"/>
    </row>
    <row r="36" spans="1:66" x14ac:dyDescent="0.25">
      <c r="B36" s="59"/>
      <c r="C36" s="314"/>
      <c r="D36" s="58"/>
      <c r="E36" s="58"/>
      <c r="F36" s="58"/>
      <c r="G36" s="32"/>
      <c r="H36" s="32"/>
      <c r="I36" s="58"/>
      <c r="J36" s="58"/>
      <c r="K36" s="58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7"/>
      <c r="AE36" s="96"/>
      <c r="AF36" s="96"/>
      <c r="AG36" s="31"/>
      <c r="AH36" s="32"/>
    </row>
    <row r="37" spans="1:66" x14ac:dyDescent="0.25">
      <c r="B37" s="59"/>
      <c r="C37" s="314"/>
      <c r="D37" s="58"/>
      <c r="E37" s="58"/>
      <c r="F37" s="58"/>
      <c r="G37" s="32"/>
      <c r="H37" s="32"/>
      <c r="I37" s="58"/>
      <c r="J37" s="58"/>
      <c r="K37" s="58"/>
      <c r="L37" s="32"/>
      <c r="M37" s="32"/>
      <c r="N37" s="32"/>
      <c r="O37" s="32"/>
      <c r="P37" s="32"/>
      <c r="Q37" s="58"/>
      <c r="R37" s="32"/>
      <c r="S37" s="32"/>
      <c r="T37" s="58"/>
      <c r="U37" s="32"/>
      <c r="V37" s="32"/>
      <c r="W37" s="32"/>
      <c r="X37" s="32"/>
      <c r="Y37" s="32"/>
      <c r="Z37" s="32"/>
      <c r="AA37" s="32"/>
      <c r="AB37" s="32"/>
      <c r="AC37" s="32"/>
      <c r="AD37" s="7"/>
      <c r="AE37" s="96"/>
      <c r="AF37" s="96"/>
      <c r="AG37" s="32"/>
      <c r="AH37" s="32"/>
    </row>
    <row r="38" spans="1:66" x14ac:dyDescent="0.25">
      <c r="B38" s="59" t="str">
        <f>B4</f>
        <v>en k€</v>
      </c>
      <c r="C38" s="314"/>
      <c r="D38" s="57"/>
      <c r="E38" s="57"/>
      <c r="F38" s="57"/>
      <c r="G38" s="57"/>
      <c r="H38" s="57"/>
      <c r="I38" s="57"/>
      <c r="J38" s="57"/>
      <c r="K38" s="49" t="str">
        <f t="shared" ref="K38:AD38" si="26">K4</f>
        <v>2018a</v>
      </c>
      <c r="L38" s="57"/>
      <c r="M38" s="57"/>
      <c r="N38" s="57"/>
      <c r="O38" s="57"/>
      <c r="P38" s="49" t="str">
        <f t="shared" si="26"/>
        <v>2019a</v>
      </c>
      <c r="Q38" s="57"/>
      <c r="R38" s="57"/>
      <c r="S38" s="57"/>
      <c r="T38" s="57"/>
      <c r="U38" s="57"/>
      <c r="V38" s="32"/>
      <c r="W38" s="32"/>
      <c r="X38" s="49" t="str">
        <f>V3</f>
        <v>réalisé 2020</v>
      </c>
      <c r="Y38" s="49"/>
      <c r="Z38" s="49"/>
      <c r="AA38" s="32"/>
      <c r="AB38" s="32"/>
      <c r="AC38" s="32"/>
      <c r="AD38" s="28" t="str">
        <f t="shared" si="26"/>
        <v>résultat</v>
      </c>
      <c r="AE38" s="97"/>
      <c r="AF38" s="97"/>
      <c r="AG38" s="32"/>
      <c r="AH38" s="32"/>
      <c r="AK38" s="49" t="str">
        <f>AI3</f>
        <v>réalisé 2021</v>
      </c>
      <c r="AR38" s="49" t="str">
        <f>AP3</f>
        <v>Budget 2022</v>
      </c>
      <c r="AY38" s="49" t="str">
        <f>AW3</f>
        <v>réalisé 2022</v>
      </c>
      <c r="BM38" s="49" t="str">
        <f>BK3</f>
        <v>Budget 2023</v>
      </c>
    </row>
    <row r="39" spans="1:66" x14ac:dyDescent="0.25">
      <c r="B39" s="22" t="str">
        <f>B10</f>
        <v>Bureau</v>
      </c>
      <c r="C39" s="314"/>
      <c r="D39" s="57"/>
      <c r="E39" s="57"/>
      <c r="F39" s="57"/>
      <c r="G39" s="57"/>
      <c r="H39" s="57"/>
      <c r="I39" s="57"/>
      <c r="J39" s="57"/>
      <c r="K39" s="67">
        <f>K10</f>
        <v>-12.8</v>
      </c>
      <c r="L39" s="57"/>
      <c r="M39" s="57"/>
      <c r="N39" s="57"/>
      <c r="O39" s="57"/>
      <c r="P39" s="67" t="e">
        <f>P10</f>
        <v>#REF!</v>
      </c>
      <c r="Q39" s="57"/>
      <c r="R39" s="57"/>
      <c r="S39" s="57"/>
      <c r="T39" s="57"/>
      <c r="U39" s="57"/>
      <c r="V39" s="32"/>
      <c r="W39" s="32"/>
      <c r="X39" s="67">
        <f>X10</f>
        <v>-0.78399000000000063</v>
      </c>
      <c r="Y39" s="80"/>
      <c r="Z39" s="80"/>
      <c r="AA39" s="32"/>
      <c r="AB39" s="32"/>
      <c r="AC39" s="32"/>
      <c r="AD39" s="67">
        <f>AD10</f>
        <v>-4</v>
      </c>
      <c r="AE39" s="112"/>
      <c r="AF39" s="112"/>
      <c r="AG39" s="32"/>
      <c r="AH39" s="32"/>
      <c r="AK39" s="67">
        <f>AK10</f>
        <v>-2.7092099999999988</v>
      </c>
      <c r="AR39" s="67">
        <f>AR10</f>
        <v>-4</v>
      </c>
      <c r="AY39" s="67">
        <f>AY10</f>
        <v>-1.5306999999999997</v>
      </c>
      <c r="BM39" s="67">
        <f>BM10</f>
        <v>-3.5</v>
      </c>
    </row>
    <row r="40" spans="1:66" x14ac:dyDescent="0.25">
      <c r="B40" s="22" t="str">
        <f>B16</f>
        <v>Conseil d'Administration</v>
      </c>
      <c r="C40" s="314"/>
      <c r="D40" s="57"/>
      <c r="E40" s="57"/>
      <c r="F40" s="57"/>
      <c r="G40" s="57"/>
      <c r="H40" s="57"/>
      <c r="I40" s="57"/>
      <c r="J40" s="57"/>
      <c r="K40" s="67">
        <f>K16</f>
        <v>-29.1</v>
      </c>
      <c r="L40" s="57"/>
      <c r="M40" s="57"/>
      <c r="N40" s="57"/>
      <c r="O40" s="57"/>
      <c r="P40" s="67" t="e">
        <f>P16</f>
        <v>#REF!</v>
      </c>
      <c r="Q40" s="57"/>
      <c r="R40" s="57"/>
      <c r="S40" s="57"/>
      <c r="T40" s="57"/>
      <c r="U40" s="57"/>
      <c r="V40" s="32"/>
      <c r="W40" s="32"/>
      <c r="X40" s="67">
        <f>X16</f>
        <v>-2.6007699999999998</v>
      </c>
      <c r="Y40" s="80"/>
      <c r="Z40" s="80"/>
      <c r="AA40" s="32"/>
      <c r="AB40" s="32"/>
      <c r="AC40" s="32"/>
      <c r="AD40" s="67">
        <f>AD16</f>
        <v>-7</v>
      </c>
      <c r="AE40" s="112"/>
      <c r="AF40" s="112"/>
      <c r="AG40" s="32"/>
      <c r="AH40" s="32"/>
      <c r="AK40" s="67">
        <f>AK16</f>
        <v>-3.3047200000000001</v>
      </c>
      <c r="AR40" s="67">
        <f>AR16</f>
        <v>-16</v>
      </c>
      <c r="AY40" s="67">
        <f>AY16</f>
        <v>-6.3918399999999984</v>
      </c>
      <c r="BM40" s="67">
        <f>BM16</f>
        <v>-12</v>
      </c>
    </row>
    <row r="41" spans="1:66" x14ac:dyDescent="0.25">
      <c r="B41" s="22" t="str">
        <f>B23</f>
        <v>AG et autres réunions</v>
      </c>
      <c r="C41" s="314"/>
      <c r="D41" s="57"/>
      <c r="E41" s="57"/>
      <c r="F41" s="57"/>
      <c r="G41" s="57"/>
      <c r="H41" s="57"/>
      <c r="I41" s="57"/>
      <c r="J41" s="57"/>
      <c r="K41" s="67">
        <f>K23</f>
        <v>-16</v>
      </c>
      <c r="L41" s="57"/>
      <c r="M41" s="57"/>
      <c r="N41" s="57"/>
      <c r="O41" s="57"/>
      <c r="P41" s="67" t="e">
        <f>P23</f>
        <v>#REF!</v>
      </c>
      <c r="Q41" s="57"/>
      <c r="R41" s="57"/>
      <c r="S41" s="57"/>
      <c r="T41" s="57"/>
      <c r="U41" s="57"/>
      <c r="V41" s="32"/>
      <c r="W41" s="32"/>
      <c r="X41" s="67">
        <f>X23</f>
        <v>-1.9427799999999997</v>
      </c>
      <c r="Y41" s="80"/>
      <c r="Z41" s="80"/>
      <c r="AA41" s="32"/>
      <c r="AB41" s="32"/>
      <c r="AC41" s="32"/>
      <c r="AD41" s="67">
        <f>AD23</f>
        <v>-13.5</v>
      </c>
      <c r="AE41" s="112"/>
      <c r="AF41" s="112"/>
      <c r="AG41" s="32"/>
      <c r="AH41" s="32"/>
      <c r="AK41" s="67">
        <f>AK23</f>
        <v>-16.991849999999999</v>
      </c>
      <c r="AR41" s="67">
        <f>AR23</f>
        <v>-22</v>
      </c>
      <c r="AY41" s="67">
        <f>AY23</f>
        <v>-13.308870000000001</v>
      </c>
      <c r="BM41" s="67">
        <f>BM23</f>
        <v>-23.8</v>
      </c>
    </row>
    <row r="42" spans="1:66" x14ac:dyDescent="0.25">
      <c r="B42" s="22" t="str">
        <f>B34</f>
        <v>Direction technique</v>
      </c>
      <c r="C42" s="314"/>
      <c r="D42" s="57"/>
      <c r="E42" s="57"/>
      <c r="F42" s="57"/>
      <c r="G42" s="57"/>
      <c r="H42" s="57"/>
      <c r="I42" s="57"/>
      <c r="J42" s="57"/>
      <c r="K42" s="67">
        <f>K34</f>
        <v>-36</v>
      </c>
      <c r="L42" s="57"/>
      <c r="M42" s="57"/>
      <c r="N42" s="57"/>
      <c r="O42" s="57"/>
      <c r="P42" s="67" t="e">
        <f>P34</f>
        <v>#REF!</v>
      </c>
      <c r="Q42" s="57"/>
      <c r="R42" s="57"/>
      <c r="S42" s="57"/>
      <c r="T42" s="57"/>
      <c r="U42" s="57"/>
      <c r="V42" s="32"/>
      <c r="W42" s="32"/>
      <c r="X42" s="67">
        <f>X34</f>
        <v>-19.108840000000001</v>
      </c>
      <c r="Y42" s="80"/>
      <c r="Z42" s="80"/>
      <c r="AA42" s="32"/>
      <c r="AB42" s="32"/>
      <c r="AC42" s="32"/>
      <c r="AD42" s="67">
        <f>AD34</f>
        <v>-25.5</v>
      </c>
      <c r="AE42" s="112"/>
      <c r="AF42" s="112"/>
      <c r="AG42" s="32"/>
      <c r="AH42" s="32"/>
      <c r="AK42" s="67">
        <f>AK34</f>
        <v>-13.180290000000001</v>
      </c>
      <c r="AR42" s="67">
        <f>AR34</f>
        <v>-25.5</v>
      </c>
      <c r="AY42" s="67">
        <f>AY34</f>
        <v>-32.120629999999991</v>
      </c>
      <c r="BM42" s="67">
        <f>BM34</f>
        <v>-30.5</v>
      </c>
    </row>
    <row r="43" spans="1:66" x14ac:dyDescent="0.25">
      <c r="B43" s="22" t="s">
        <v>36</v>
      </c>
      <c r="C43" s="314"/>
      <c r="D43" s="57"/>
      <c r="E43" s="57"/>
      <c r="F43" s="57"/>
      <c r="G43" s="57"/>
      <c r="H43" s="57"/>
      <c r="I43" s="57"/>
      <c r="J43" s="57"/>
      <c r="K43" s="67">
        <f>SUM(K39:K42)</f>
        <v>-93.9</v>
      </c>
      <c r="L43" s="57"/>
      <c r="M43" s="57"/>
      <c r="N43" s="57"/>
      <c r="O43" s="57"/>
      <c r="P43" s="67" t="e">
        <f t="shared" ref="P43:AD43" si="27">SUM(P39:P42)</f>
        <v>#REF!</v>
      </c>
      <c r="Q43" s="57"/>
      <c r="R43" s="57"/>
      <c r="S43" s="57"/>
      <c r="T43" s="57"/>
      <c r="U43" s="57"/>
      <c r="V43" s="32"/>
      <c r="W43" s="32"/>
      <c r="X43" s="67">
        <f t="shared" ref="X43" si="28">SUM(X39:X42)</f>
        <v>-24.43638</v>
      </c>
      <c r="Y43" s="80"/>
      <c r="Z43" s="80"/>
      <c r="AA43" s="32"/>
      <c r="AB43" s="32"/>
      <c r="AC43" s="32"/>
      <c r="AD43" s="67">
        <f t="shared" si="27"/>
        <v>-50</v>
      </c>
      <c r="AE43" s="112"/>
      <c r="AF43" s="112"/>
      <c r="AG43" s="32"/>
      <c r="AH43" s="32"/>
      <c r="AK43" s="67">
        <f t="shared" ref="AK43" si="29">SUM(AK39:AK42)</f>
        <v>-36.186070000000001</v>
      </c>
      <c r="AR43" s="67">
        <f t="shared" ref="AR43" si="30">SUM(AR39:AR42)</f>
        <v>-67.5</v>
      </c>
      <c r="AY43" s="67">
        <f t="shared" ref="AY43" si="31">SUM(AY39:AY42)</f>
        <v>-53.352039999999988</v>
      </c>
      <c r="BM43" s="67">
        <f t="shared" ref="BM43" si="32">SUM(BM39:BM42)</f>
        <v>-69.8</v>
      </c>
    </row>
    <row r="44" spans="1:66" x14ac:dyDescent="0.25">
      <c r="B44" s="59"/>
      <c r="C44" s="314"/>
      <c r="D44" s="57"/>
      <c r="E44" s="57"/>
      <c r="F44" s="57"/>
      <c r="G44" s="57"/>
      <c r="H44" s="57"/>
      <c r="I44" s="57"/>
      <c r="J44" s="57"/>
      <c r="K44" s="58"/>
      <c r="L44" s="57"/>
      <c r="M44" s="57"/>
      <c r="N44" s="57"/>
      <c r="O44" s="57"/>
      <c r="P44" s="32"/>
      <c r="Q44" s="57"/>
      <c r="R44" s="57"/>
      <c r="S44" s="57"/>
      <c r="T44" s="57"/>
      <c r="U44" s="57"/>
      <c r="V44" s="32"/>
      <c r="W44" s="32"/>
      <c r="X44" s="32"/>
      <c r="Y44" s="32"/>
      <c r="Z44" s="32"/>
      <c r="AA44" s="32"/>
      <c r="AB44" s="32"/>
      <c r="AC44" s="32"/>
      <c r="AD44" s="7"/>
      <c r="AE44" s="96"/>
      <c r="AF44" s="96"/>
      <c r="AG44" s="32"/>
      <c r="AH44" s="32"/>
    </row>
    <row r="45" spans="1:66" x14ac:dyDescent="0.25">
      <c r="B45" s="59"/>
      <c r="C45" s="314"/>
      <c r="D45" s="58"/>
      <c r="E45" s="58"/>
      <c r="F45" s="58"/>
      <c r="G45" s="32"/>
      <c r="H45" s="32"/>
      <c r="I45" s="58"/>
      <c r="J45" s="58"/>
      <c r="K45" s="58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7"/>
      <c r="AE45" s="96"/>
      <c r="AF45" s="96"/>
      <c r="AG45" s="32"/>
      <c r="AH45" s="32"/>
    </row>
    <row r="46" spans="1:66" x14ac:dyDescent="0.25">
      <c r="B46" s="59"/>
      <c r="C46" s="314"/>
      <c r="D46" s="58"/>
      <c r="E46" s="58"/>
      <c r="F46" s="58"/>
      <c r="G46" s="32"/>
      <c r="H46" s="32"/>
      <c r="I46" s="58"/>
      <c r="J46" s="58"/>
      <c r="K46" s="58"/>
      <c r="L46" s="32"/>
      <c r="M46" s="32"/>
      <c r="N46" s="32"/>
      <c r="O46" s="32"/>
      <c r="P46" s="32"/>
      <c r="Q46" s="58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7"/>
      <c r="AE46" s="96"/>
      <c r="AF46" s="96"/>
      <c r="AG46" s="32"/>
      <c r="AH46" s="32"/>
    </row>
    <row r="47" spans="1:66" x14ac:dyDescent="0.25">
      <c r="B47" s="59"/>
      <c r="C47" s="314"/>
      <c r="D47" s="58"/>
      <c r="E47" s="58"/>
      <c r="F47" s="58"/>
      <c r="G47" s="32"/>
      <c r="H47" s="32"/>
      <c r="I47" s="58"/>
      <c r="J47" s="58"/>
      <c r="K47" s="58"/>
      <c r="L47" s="32"/>
      <c r="M47" s="32"/>
      <c r="N47" s="32"/>
      <c r="O47" s="32"/>
      <c r="P47" s="32"/>
      <c r="Q47" s="58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7"/>
      <c r="AE47" s="96"/>
      <c r="AF47" s="96"/>
      <c r="AG47" s="32"/>
      <c r="AH47" s="32"/>
    </row>
    <row r="48" spans="1:66" x14ac:dyDescent="0.25">
      <c r="B48" s="5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32"/>
      <c r="O48" s="32"/>
      <c r="P48" s="32"/>
      <c r="Q48" s="58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7"/>
      <c r="AE48" s="96"/>
      <c r="AF48" s="96"/>
      <c r="AG48" s="31"/>
      <c r="AH48" s="32"/>
    </row>
    <row r="49" spans="2:34" hidden="1" x14ac:dyDescent="0.25">
      <c r="B49" s="5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32"/>
      <c r="O49" s="32"/>
      <c r="P49" s="32"/>
      <c r="Q49" s="58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7"/>
      <c r="AE49" s="96"/>
      <c r="AF49" s="96"/>
      <c r="AG49" s="31"/>
      <c r="AH49" s="32"/>
    </row>
    <row r="50" spans="2:34" hidden="1" x14ac:dyDescent="0.25">
      <c r="B50" s="59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32"/>
      <c r="O50" s="32"/>
      <c r="P50" s="32"/>
      <c r="Q50" s="58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7"/>
      <c r="AE50" s="96"/>
      <c r="AF50" s="96"/>
      <c r="AG50" s="31"/>
      <c r="AH50" s="32"/>
    </row>
    <row r="51" spans="2:34" hidden="1" x14ac:dyDescent="0.25">
      <c r="B51" s="5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32"/>
      <c r="O51" s="32"/>
      <c r="P51" s="32"/>
      <c r="Q51" s="58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7"/>
      <c r="AE51" s="96"/>
      <c r="AF51" s="96"/>
      <c r="AG51" s="31"/>
      <c r="AH51" s="32"/>
    </row>
    <row r="52" spans="2:34" hidden="1" x14ac:dyDescent="0.25">
      <c r="B52" s="59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32"/>
      <c r="O52" s="32"/>
      <c r="P52" s="32"/>
      <c r="Q52" s="58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7"/>
      <c r="AE52" s="96"/>
      <c r="AF52" s="96"/>
      <c r="AG52" s="31"/>
      <c r="AH52" s="32"/>
    </row>
    <row r="53" spans="2:34" hidden="1" x14ac:dyDescent="0.25">
      <c r="B53" s="59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32"/>
      <c r="O53" s="32"/>
      <c r="P53" s="32"/>
      <c r="Q53" s="58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7"/>
      <c r="AE53" s="96"/>
      <c r="AF53" s="96"/>
      <c r="AG53" s="31"/>
      <c r="AH53" s="32"/>
    </row>
    <row r="54" spans="2:34" hidden="1" x14ac:dyDescent="0.25">
      <c r="B54" s="59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32"/>
      <c r="O54" s="32"/>
      <c r="P54" s="32"/>
      <c r="Q54" s="58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7"/>
      <c r="AE54" s="96"/>
      <c r="AF54" s="96"/>
      <c r="AG54" s="31"/>
      <c r="AH54" s="32"/>
    </row>
    <row r="55" spans="2:34" hidden="1" x14ac:dyDescent="0.25">
      <c r="B55" s="69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32"/>
      <c r="O55" s="32"/>
      <c r="P55" s="32"/>
      <c r="Q55" s="58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7"/>
      <c r="AE55" s="96"/>
      <c r="AF55" s="96"/>
      <c r="AG55" s="31"/>
      <c r="AH55" s="32"/>
    </row>
    <row r="56" spans="2:34" hidden="1" x14ac:dyDescent="0.25">
      <c r="B56" s="69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32"/>
      <c r="O56" s="32"/>
      <c r="P56" s="32"/>
      <c r="Q56" s="58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7"/>
      <c r="AE56" s="96"/>
      <c r="AF56" s="96"/>
      <c r="AG56" s="31"/>
      <c r="AH56" s="32"/>
    </row>
    <row r="57" spans="2:34" hidden="1" x14ac:dyDescent="0.25">
      <c r="B57" s="69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32"/>
      <c r="O57" s="32"/>
      <c r="P57" s="32"/>
      <c r="Q57" s="58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7"/>
      <c r="AE57" s="96"/>
      <c r="AF57" s="96"/>
      <c r="AG57" s="31"/>
      <c r="AH57" s="32"/>
    </row>
    <row r="58" spans="2:34" hidden="1" x14ac:dyDescent="0.25"/>
    <row r="59" spans="2:34" hidden="1" x14ac:dyDescent="0.25"/>
    <row r="60" spans="2:34" hidden="1" x14ac:dyDescent="0.25"/>
    <row r="61" spans="2:34" hidden="1" x14ac:dyDescent="0.25"/>
    <row r="62" spans="2:34" hidden="1" x14ac:dyDescent="0.25"/>
    <row r="63" spans="2:34" hidden="1" x14ac:dyDescent="0.25"/>
    <row r="64" spans="2:34" hidden="1" x14ac:dyDescent="0.25"/>
    <row r="65" hidden="1" x14ac:dyDescent="0.25"/>
    <row r="66" hidden="1" x14ac:dyDescent="0.25"/>
    <row r="67" hidden="1" x14ac:dyDescent="0.25"/>
    <row r="68" hidden="1" x14ac:dyDescent="0.25"/>
  </sheetData>
  <sheetProtection password="95B0" sheet="1" objects="1" scenarios="1"/>
  <mergeCells count="8">
    <mergeCell ref="BK3:BM3"/>
    <mergeCell ref="BD3:BF3"/>
    <mergeCell ref="R3:T3"/>
    <mergeCell ref="V3:X3"/>
    <mergeCell ref="AB3:AD3"/>
    <mergeCell ref="AI3:AK3"/>
    <mergeCell ref="AP3:AR3"/>
    <mergeCell ref="AW3:AY3"/>
  </mergeCells>
  <conditionalFormatting sqref="C80:C1048576 C1:C47 C68:C78">
    <cfRule type="duplicateValues" dxfId="1" priority="1"/>
  </conditionalFormatting>
  <conditionalFormatting sqref="C68:C78">
    <cfRule type="duplicateValues" dxfId="0" priority="2"/>
  </conditionalFormatting>
  <pageMargins left="0.31496062992125984" right="0.31496062992125984" top="0.35433070866141736" bottom="0.35433070866141736" header="0.31496062992125984" footer="0.31496062992125984"/>
  <pageSetup paperSize="8" orientation="landscape" r:id="rId1"/>
  <ignoredErrors>
    <ignoredError sqref="V10:X10 V16:X16" formula="1"/>
    <ignoredError sqref="C5:C3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BN74"/>
  <sheetViews>
    <sheetView showGridLines="0" zoomScale="80" zoomScaleNormal="80" workbookViewId="0">
      <pane xSplit="21" ySplit="4" topLeftCell="V5" activePane="bottomRight" state="frozen"/>
      <selection activeCell="E12" sqref="E12"/>
      <selection pane="topRight" activeCell="E12" sqref="E12"/>
      <selection pane="bottomLeft" activeCell="E12" sqref="E12"/>
      <selection pane="bottomRight" activeCell="B3" sqref="B3"/>
    </sheetView>
  </sheetViews>
  <sheetFormatPr baseColWidth="10" defaultColWidth="11.42578125" defaultRowHeight="15" outlineLevelRow="2" outlineLevelCol="2" x14ac:dyDescent="0.25"/>
  <cols>
    <col min="1" max="1" width="4.7109375" style="32" customWidth="1"/>
    <col min="2" max="2" width="35" style="69" customWidth="1"/>
    <col min="3" max="3" width="7.140625" style="318" customWidth="1"/>
    <col min="4" max="4" width="8.85546875" style="86" hidden="1" customWidth="1" outlineLevel="1"/>
    <col min="5" max="5" width="7.7109375" style="86" hidden="1" customWidth="1" outlineLevel="1"/>
    <col min="6" max="6" width="11.7109375" style="86" hidden="1" customWidth="1"/>
    <col min="7" max="8" width="1.7109375" style="32" hidden="1" customWidth="1"/>
    <col min="9" max="10" width="11.7109375" style="58" hidden="1" customWidth="1" outlineLevel="2"/>
    <col min="11" max="11" width="11.7109375" style="58" hidden="1" customWidth="1"/>
    <col min="12" max="13" width="1.7109375" style="32" hidden="1" customWidth="1" outlineLevel="1"/>
    <col min="14" max="15" width="11.7109375" style="32" hidden="1" customWidth="1" outlineLevel="1"/>
    <col min="16" max="16" width="11.7109375" style="32" hidden="1" customWidth="1"/>
    <col min="17" max="17" width="1.7109375" style="32" hidden="1" customWidth="1" outlineLevel="1"/>
    <col min="18" max="18" width="10.28515625" style="32" hidden="1" customWidth="1" outlineLevel="2" collapsed="1"/>
    <col min="19" max="19" width="10.28515625" style="32" hidden="1" customWidth="1" outlineLevel="2"/>
    <col min="20" max="20" width="10.28515625" style="32" hidden="1" customWidth="1" outlineLevel="1"/>
    <col min="21" max="21" width="1.7109375" style="32" hidden="1" customWidth="1" outlineLevel="1" collapsed="1"/>
    <col min="22" max="24" width="10.28515625" style="32" customWidth="1" outlineLevel="1"/>
    <col min="25" max="25" width="1.7109375" style="32" customWidth="1" outlineLevel="1"/>
    <col min="26" max="26" width="8.42578125" style="32" hidden="1" customWidth="1" outlineLevel="1"/>
    <col min="27" max="27" width="1.7109375" style="32" hidden="1" customWidth="1"/>
    <col min="28" max="29" width="10.28515625" style="32" hidden="1" customWidth="1"/>
    <col min="30" max="30" width="10.28515625" style="7" hidden="1" customWidth="1"/>
    <col min="31" max="31" width="3.28515625" style="32" hidden="1" customWidth="1"/>
    <col min="32" max="32" width="8.5703125" style="32" hidden="1" customWidth="1"/>
    <col min="33" max="33" width="40.7109375" style="31" hidden="1" customWidth="1" outlineLevel="2"/>
    <col min="34" max="34" width="1.7109375" style="32" hidden="1" customWidth="1"/>
    <col min="35" max="37" width="10.28515625" style="32" customWidth="1" outlineLevel="1"/>
    <col min="38" max="38" width="1.7109375" style="32" customWidth="1" outlineLevel="1"/>
    <col min="39" max="39" width="8.5703125" style="32" hidden="1" customWidth="1" outlineLevel="1"/>
    <col min="40" max="40" width="8" style="32" hidden="1" customWidth="1" outlineLevel="2"/>
    <col min="41" max="41" width="1.7109375" style="32" hidden="1" customWidth="1"/>
    <col min="42" max="44" width="10.28515625" style="32" customWidth="1" outlineLevel="1"/>
    <col min="45" max="45" width="1.7109375" style="32" customWidth="1" outlineLevel="1"/>
    <col min="46" max="46" width="8.5703125" style="32" hidden="1" customWidth="1" outlineLevel="1"/>
    <col min="47" max="47" width="84.7109375" style="32" hidden="1" customWidth="1" outlineLevel="1"/>
    <col min="48" max="48" width="1.7109375" style="32" hidden="1" customWidth="1"/>
    <col min="49" max="51" width="10.28515625" style="32" customWidth="1" outlineLevel="1"/>
    <col min="52" max="52" width="1.7109375" style="32" customWidth="1" outlineLevel="1"/>
    <col min="53" max="53" width="8.5703125" style="32" hidden="1" customWidth="1" outlineLevel="1"/>
    <col min="54" max="54" width="18.5703125" style="32" hidden="1" customWidth="1" outlineLevel="1"/>
    <col min="55" max="55" width="1.7109375" style="32" hidden="1" customWidth="1" outlineLevel="1"/>
    <col min="56" max="56" width="10.28515625" style="32" hidden="1" customWidth="1" outlineLevel="1" collapsed="1"/>
    <col min="57" max="59" width="10.28515625" style="32" hidden="1" customWidth="1" outlineLevel="1"/>
    <col min="60" max="60" width="1.7109375" style="32" hidden="1" customWidth="1" outlineLevel="1"/>
    <col min="61" max="61" width="5.140625" style="32" hidden="1" customWidth="1" outlineLevel="1"/>
    <col min="62" max="62" width="1.7109375" style="32" hidden="1" customWidth="1" collapsed="1"/>
    <col min="63" max="65" width="10.28515625" style="32" customWidth="1" outlineLevel="1"/>
    <col min="66" max="66" width="1.7109375" style="32" customWidth="1" outlineLevel="1"/>
    <col min="67" max="69" width="10.28515625" style="32" customWidth="1"/>
    <col min="70" max="16384" width="11.42578125" style="32"/>
  </cols>
  <sheetData>
    <row r="1" spans="1:66" ht="18.75" x14ac:dyDescent="0.25">
      <c r="B1" s="30" t="s">
        <v>137</v>
      </c>
      <c r="C1" s="314"/>
      <c r="D1" s="58"/>
      <c r="E1" s="58"/>
      <c r="F1" s="58"/>
    </row>
    <row r="2" spans="1:66" x14ac:dyDescent="0.25">
      <c r="B2" s="59"/>
      <c r="C2" s="314"/>
      <c r="D2" s="58"/>
      <c r="E2" s="58"/>
      <c r="F2" s="58"/>
    </row>
    <row r="3" spans="1:66" ht="18.75" x14ac:dyDescent="0.25">
      <c r="B3" s="30" t="s">
        <v>137</v>
      </c>
      <c r="C3" s="314"/>
      <c r="D3" s="58"/>
      <c r="E3" s="58"/>
      <c r="F3" s="58"/>
      <c r="N3" s="58"/>
      <c r="O3" s="58"/>
      <c r="P3" s="58"/>
      <c r="R3" s="615" t="s">
        <v>384</v>
      </c>
      <c r="S3" s="615"/>
      <c r="T3" s="615"/>
      <c r="V3" s="616" t="s">
        <v>386</v>
      </c>
      <c r="W3" s="616"/>
      <c r="X3" s="616"/>
      <c r="Z3" s="618" t="s">
        <v>429</v>
      </c>
      <c r="AB3" s="617" t="s">
        <v>388</v>
      </c>
      <c r="AC3" s="617"/>
      <c r="AD3" s="617"/>
      <c r="AF3" s="620" t="s">
        <v>323</v>
      </c>
      <c r="AG3" s="58"/>
      <c r="AI3" s="589" t="s">
        <v>439</v>
      </c>
      <c r="AJ3" s="589"/>
      <c r="AK3" s="589"/>
      <c r="AL3" s="8"/>
      <c r="AM3" s="8"/>
      <c r="AN3" s="8" t="s">
        <v>440</v>
      </c>
      <c r="AO3" s="8"/>
      <c r="AP3" s="591" t="s">
        <v>441</v>
      </c>
      <c r="AQ3" s="591"/>
      <c r="AR3" s="591"/>
      <c r="AS3" s="223"/>
      <c r="AT3" s="8"/>
      <c r="AU3" s="8" t="s">
        <v>13</v>
      </c>
      <c r="AV3" s="8"/>
      <c r="AW3" s="592" t="s">
        <v>598</v>
      </c>
      <c r="AX3" s="592"/>
      <c r="AY3" s="592"/>
      <c r="AZ3" s="8"/>
      <c r="BA3" s="8"/>
      <c r="BB3" s="8" t="s">
        <v>13</v>
      </c>
      <c r="BC3" s="8"/>
      <c r="BD3" s="590" t="e">
        <f>"Situation 2022 : "&amp;ROUND((-SUM(#REF!)+SUM(#REF!))/1000,3)&amp;" k€"</f>
        <v>#REF!</v>
      </c>
      <c r="BE3" s="590"/>
      <c r="BF3" s="590"/>
      <c r="BG3" s="8"/>
      <c r="BK3" s="585" t="s">
        <v>599</v>
      </c>
      <c r="BL3" s="585"/>
      <c r="BM3" s="585"/>
      <c r="BN3" s="223"/>
    </row>
    <row r="4" spans="1:66" ht="29.25" customHeight="1" x14ac:dyDescent="0.25">
      <c r="B4" s="70" t="s">
        <v>294</v>
      </c>
      <c r="C4" s="315"/>
      <c r="D4" s="60" t="s">
        <v>8</v>
      </c>
      <c r="E4" s="60" t="s">
        <v>9</v>
      </c>
      <c r="F4" s="71" t="s">
        <v>10</v>
      </c>
      <c r="G4" s="72"/>
      <c r="H4" s="72"/>
      <c r="I4" s="60" t="s">
        <v>8</v>
      </c>
      <c r="J4" s="60" t="s">
        <v>9</v>
      </c>
      <c r="K4" s="2" t="s">
        <v>2</v>
      </c>
      <c r="L4" s="61"/>
      <c r="M4" s="72"/>
      <c r="N4" s="13" t="s">
        <v>8</v>
      </c>
      <c r="O4" s="13" t="s">
        <v>9</v>
      </c>
      <c r="P4" s="2" t="s">
        <v>3</v>
      </c>
      <c r="Q4" s="61"/>
      <c r="R4" s="115" t="s">
        <v>8</v>
      </c>
      <c r="S4" s="115" t="s">
        <v>9</v>
      </c>
      <c r="T4" s="117" t="s">
        <v>11</v>
      </c>
      <c r="U4" s="61"/>
      <c r="V4" s="472" t="s">
        <v>8</v>
      </c>
      <c r="W4" s="472" t="s">
        <v>9</v>
      </c>
      <c r="X4" s="404" t="s">
        <v>12</v>
      </c>
      <c r="Y4" s="61"/>
      <c r="Z4" s="619"/>
      <c r="AA4" s="61"/>
      <c r="AB4" s="260" t="s">
        <v>8</v>
      </c>
      <c r="AC4" s="260" t="s">
        <v>9</v>
      </c>
      <c r="AD4" s="246" t="s">
        <v>64</v>
      </c>
      <c r="AF4" s="620"/>
      <c r="AG4" s="2" t="s">
        <v>13</v>
      </c>
      <c r="AI4" s="147" t="s">
        <v>8</v>
      </c>
      <c r="AJ4" s="147" t="s">
        <v>9</v>
      </c>
      <c r="AK4" s="147" t="s">
        <v>64</v>
      </c>
      <c r="AL4" s="9"/>
      <c r="AM4" s="124" t="s">
        <v>422</v>
      </c>
      <c r="AN4" s="219"/>
      <c r="AO4" s="219"/>
      <c r="AP4" s="337" t="s">
        <v>8</v>
      </c>
      <c r="AQ4" s="337" t="s">
        <v>9</v>
      </c>
      <c r="AR4" s="337" t="s">
        <v>64</v>
      </c>
      <c r="AS4" s="224"/>
      <c r="AT4" s="124" t="s">
        <v>422</v>
      </c>
      <c r="AU4" s="219"/>
      <c r="AV4" s="219"/>
      <c r="AW4" s="135" t="s">
        <v>8</v>
      </c>
      <c r="AX4" s="135" t="s">
        <v>9</v>
      </c>
      <c r="AY4" s="135" t="s">
        <v>64</v>
      </c>
      <c r="AZ4" s="219"/>
      <c r="BA4" s="124" t="s">
        <v>422</v>
      </c>
      <c r="BB4" s="219"/>
      <c r="BC4" s="219"/>
      <c r="BD4" s="220" t="s">
        <v>8</v>
      </c>
      <c r="BE4" s="220" t="s">
        <v>9</v>
      </c>
      <c r="BF4" s="220" t="s">
        <v>64</v>
      </c>
      <c r="BG4" s="220" t="s">
        <v>442</v>
      </c>
      <c r="BK4" s="343" t="s">
        <v>8</v>
      </c>
      <c r="BL4" s="343" t="s">
        <v>9</v>
      </c>
      <c r="BM4" s="343" t="s">
        <v>64</v>
      </c>
      <c r="BN4" s="224"/>
    </row>
    <row r="5" spans="1:66" ht="15.75" customHeight="1" outlineLevel="1" x14ac:dyDescent="0.25">
      <c r="A5" s="32">
        <v>1</v>
      </c>
      <c r="B5" s="31" t="s">
        <v>295</v>
      </c>
      <c r="C5" s="311" t="s">
        <v>334</v>
      </c>
      <c r="D5" s="47">
        <v>-14.5</v>
      </c>
      <c r="E5" s="47">
        <v>0</v>
      </c>
      <c r="F5" s="47">
        <f>SUM(D5:E5)</f>
        <v>-14.5</v>
      </c>
      <c r="G5" s="53"/>
      <c r="H5" s="53"/>
      <c r="I5" s="47">
        <v>-12.349</v>
      </c>
      <c r="J5" s="47">
        <v>2</v>
      </c>
      <c r="K5" s="54">
        <f>SUM(I5:J5)</f>
        <v>-10.349</v>
      </c>
      <c r="L5" s="54"/>
      <c r="M5" s="54"/>
      <c r="N5" s="54" t="e">
        <f>-SUMIF(#REF!,$C5,#REF!)/1000</f>
        <v>#REF!</v>
      </c>
      <c r="O5" s="54" t="e">
        <f>SUMIF(#REF!,$C5,#REF!)/1000</f>
        <v>#REF!</v>
      </c>
      <c r="P5" s="54" t="e">
        <f>SUM(N5:O5)</f>
        <v>#REF!</v>
      </c>
      <c r="Q5" s="54"/>
      <c r="R5" s="173">
        <v>-10</v>
      </c>
      <c r="S5" s="173"/>
      <c r="T5" s="174">
        <f>SUM(R5:S5)</f>
        <v>-10</v>
      </c>
      <c r="U5" s="54"/>
      <c r="V5" s="473">
        <v>-12.27183</v>
      </c>
      <c r="W5" s="473">
        <v>1.49495</v>
      </c>
      <c r="X5" s="473">
        <f>SUM(V5:W5)</f>
        <v>-10.77688</v>
      </c>
      <c r="Y5" s="54"/>
      <c r="Z5" s="54"/>
      <c r="AA5" s="54"/>
      <c r="AB5" s="247">
        <v>-11.2</v>
      </c>
      <c r="AC5" s="247">
        <v>0</v>
      </c>
      <c r="AD5" s="247">
        <f>SUM(AB5:AC5)</f>
        <v>-11.2</v>
      </c>
      <c r="AE5" s="53"/>
      <c r="AF5" s="53"/>
      <c r="AG5" s="73"/>
      <c r="AH5" s="62"/>
      <c r="AI5" s="163">
        <v>-11.815569999999999</v>
      </c>
      <c r="AJ5" s="163">
        <v>1.90564</v>
      </c>
      <c r="AK5" s="163">
        <v>-9.9099299999999992</v>
      </c>
      <c r="AL5" s="20"/>
      <c r="AM5" s="20"/>
      <c r="AN5" s="20"/>
      <c r="AO5" s="20"/>
      <c r="AP5" s="338">
        <v>-12</v>
      </c>
      <c r="AQ5" s="338"/>
      <c r="AR5" s="338">
        <f>SUM(AP5:AQ5)</f>
        <v>-12</v>
      </c>
      <c r="AS5" s="225"/>
      <c r="AT5" s="20"/>
      <c r="AU5" s="20"/>
      <c r="AV5" s="20"/>
      <c r="AW5" s="331">
        <v>-12.816930000000001</v>
      </c>
      <c r="AX5" s="331">
        <v>2.5306899999999999</v>
      </c>
      <c r="AY5" s="331">
        <f>SUM(AW5:AX5)</f>
        <v>-10.286240000000001</v>
      </c>
      <c r="AZ5" s="20"/>
      <c r="BA5" s="20"/>
      <c r="BB5" s="20"/>
      <c r="BC5" s="20"/>
      <c r="BD5" s="301" t="e">
        <f>-SUMIF(#REF!,fonctionnement!$C5,#REF!)/1000</f>
        <v>#REF!</v>
      </c>
      <c r="BE5" s="221" t="e">
        <f>SUMIF(#REF!,fonctionnement!$C5,#REF!)/1000</f>
        <v>#REF!</v>
      </c>
      <c r="BF5" s="221" t="e">
        <f t="shared" ref="BF5:BF7" si="0">BE5+BD5</f>
        <v>#REF!</v>
      </c>
      <c r="BG5" s="221" t="e">
        <f>AR5-BF5</f>
        <v>#REF!</v>
      </c>
      <c r="BK5" s="344">
        <v>-12.4</v>
      </c>
      <c r="BL5" s="344"/>
      <c r="BM5" s="344">
        <f>SUM(BK5:BL5)</f>
        <v>-12.4</v>
      </c>
      <c r="BN5" s="225"/>
    </row>
    <row r="6" spans="1:66" ht="15.75" customHeight="1" outlineLevel="1" x14ac:dyDescent="0.25">
      <c r="A6" s="32">
        <v>2</v>
      </c>
      <c r="B6" s="31" t="s">
        <v>597</v>
      </c>
      <c r="C6" s="311" t="s">
        <v>595</v>
      </c>
      <c r="D6" s="47"/>
      <c r="E6" s="47"/>
      <c r="F6" s="47"/>
      <c r="G6" s="53"/>
      <c r="H6" s="53"/>
      <c r="I6" s="47"/>
      <c r="J6" s="47"/>
      <c r="K6" s="54"/>
      <c r="L6" s="54"/>
      <c r="M6" s="54"/>
      <c r="N6" s="54"/>
      <c r="O6" s="54"/>
      <c r="P6" s="54"/>
      <c r="Q6" s="54"/>
      <c r="R6" s="291"/>
      <c r="S6" s="291"/>
      <c r="T6" s="292"/>
      <c r="U6" s="54"/>
      <c r="V6" s="474"/>
      <c r="W6" s="474"/>
      <c r="X6" s="474"/>
      <c r="Y6" s="54"/>
      <c r="Z6" s="54"/>
      <c r="AA6" s="54"/>
      <c r="AB6" s="293"/>
      <c r="AC6" s="293"/>
      <c r="AD6" s="293"/>
      <c r="AE6" s="53"/>
      <c r="AF6" s="53"/>
      <c r="AG6" s="73"/>
      <c r="AH6" s="62"/>
      <c r="AI6" s="294"/>
      <c r="AJ6" s="294"/>
      <c r="AK6" s="294"/>
      <c r="AL6" s="20"/>
      <c r="AM6" s="20"/>
      <c r="AN6" s="20"/>
      <c r="AO6" s="20"/>
      <c r="AP6" s="485">
        <v>0</v>
      </c>
      <c r="AQ6" s="485">
        <v>0</v>
      </c>
      <c r="AR6" s="339">
        <f t="shared" ref="AR6:AR7" si="1">SUM(AP6:AQ6)</f>
        <v>0</v>
      </c>
      <c r="AS6" s="225"/>
      <c r="AT6" s="20"/>
      <c r="AU6" s="20"/>
      <c r="AV6" s="20"/>
      <c r="AW6" s="480">
        <v>-6.4590299999999994</v>
      </c>
      <c r="AX6" s="480">
        <v>0</v>
      </c>
      <c r="AY6" s="480">
        <f t="shared" ref="AY6:AY38" si="2">SUM(AW6:AX6)</f>
        <v>-6.4590299999999994</v>
      </c>
      <c r="AZ6" s="20"/>
      <c r="BA6" s="20"/>
      <c r="BB6" s="20"/>
      <c r="BC6" s="20"/>
      <c r="BD6" s="301" t="e">
        <f>-SUMIF(#REF!,fonctionnement!$C6,#REF!)/1000</f>
        <v>#REF!</v>
      </c>
      <c r="BE6" s="221" t="e">
        <f>SUMIF(#REF!,fonctionnement!$C6,#REF!)/1000</f>
        <v>#REF!</v>
      </c>
      <c r="BF6" s="221" t="e">
        <f t="shared" ref="BF6" si="3">BE6+BD6</f>
        <v>#REF!</v>
      </c>
      <c r="BG6" s="221" t="e">
        <f t="shared" ref="BG6" si="4">AR6-BF6</f>
        <v>#REF!</v>
      </c>
      <c r="BK6" s="482">
        <v>-12.8</v>
      </c>
      <c r="BL6" s="482"/>
      <c r="BM6" s="345">
        <f t="shared" ref="BM6:BM7" si="5">SUM(BK6:BL6)</f>
        <v>-12.8</v>
      </c>
      <c r="BN6" s="225"/>
    </row>
    <row r="7" spans="1:66" ht="15.75" customHeight="1" outlineLevel="1" x14ac:dyDescent="0.25">
      <c r="A7" s="32">
        <v>3</v>
      </c>
      <c r="B7" s="31" t="s">
        <v>296</v>
      </c>
      <c r="C7" s="311" t="s">
        <v>336</v>
      </c>
      <c r="D7" s="47">
        <v>-9.4</v>
      </c>
      <c r="E7" s="47">
        <v>0</v>
      </c>
      <c r="F7" s="47">
        <f t="shared" ref="F7:F19" si="6">SUM(D7:E7)</f>
        <v>-9.4</v>
      </c>
      <c r="G7" s="53"/>
      <c r="H7" s="53"/>
      <c r="I7" s="47">
        <v>-9.1</v>
      </c>
      <c r="J7" s="47">
        <v>0</v>
      </c>
      <c r="K7" s="54">
        <f>SUM(I7:J7)</f>
        <v>-9.1</v>
      </c>
      <c r="L7" s="54"/>
      <c r="M7" s="54"/>
      <c r="N7" s="54" t="e">
        <f>-SUMIF(#REF!,$C7,#REF!)/1000</f>
        <v>#REF!</v>
      </c>
      <c r="O7" s="54" t="e">
        <f>SUMIF(#REF!,$C7,#REF!)/1000</f>
        <v>#REF!</v>
      </c>
      <c r="P7" s="54" t="e">
        <f t="shared" ref="P7:P19" si="7">SUM(N7:O7)</f>
        <v>#REF!</v>
      </c>
      <c r="Q7" s="54"/>
      <c r="R7" s="175">
        <v>-9.5</v>
      </c>
      <c r="S7" s="175"/>
      <c r="T7" s="176">
        <f t="shared" ref="T7:T19" si="8">SUM(R7:S7)</f>
        <v>-9.5</v>
      </c>
      <c r="U7" s="54"/>
      <c r="V7" s="475">
        <v>-9.5899099999999997</v>
      </c>
      <c r="W7" s="475">
        <v>0</v>
      </c>
      <c r="X7" s="475">
        <f t="shared" ref="X7:X19" si="9">SUM(V7:W7)</f>
        <v>-9.5899099999999997</v>
      </c>
      <c r="Y7" s="54"/>
      <c r="Z7" s="54"/>
      <c r="AA7" s="54"/>
      <c r="AB7" s="248">
        <v>-9.5</v>
      </c>
      <c r="AC7" s="248">
        <v>0</v>
      </c>
      <c r="AD7" s="248">
        <f t="shared" ref="AD7:AD19" si="10">SUM(AB7:AC7)</f>
        <v>-9.5</v>
      </c>
      <c r="AE7" s="53"/>
      <c r="AF7" s="53"/>
      <c r="AG7" s="73"/>
      <c r="AH7" s="62"/>
      <c r="AI7" s="148">
        <v>-2.6432099999999998</v>
      </c>
      <c r="AJ7" s="148">
        <v>0</v>
      </c>
      <c r="AK7" s="148">
        <v>-2.6432099999999998</v>
      </c>
      <c r="AL7" s="20"/>
      <c r="AM7" s="20"/>
      <c r="AN7" s="20"/>
      <c r="AO7" s="20"/>
      <c r="AP7" s="339">
        <v>-3</v>
      </c>
      <c r="AQ7" s="339"/>
      <c r="AR7" s="339">
        <f t="shared" si="1"/>
        <v>-3</v>
      </c>
      <c r="AS7" s="225"/>
      <c r="AT7" s="20"/>
      <c r="AU7" s="298" t="s">
        <v>532</v>
      </c>
      <c r="AV7" s="303"/>
      <c r="AW7" s="332">
        <v>-2.7276599999999998</v>
      </c>
      <c r="AX7" s="332">
        <v>6.0999999999999997E-4</v>
      </c>
      <c r="AY7" s="332">
        <f t="shared" si="2"/>
        <v>-2.7270499999999998</v>
      </c>
      <c r="AZ7" s="303"/>
      <c r="BA7" s="303"/>
      <c r="BB7" s="303"/>
      <c r="BC7" s="303"/>
      <c r="BD7" s="301" t="e">
        <f>-SUMIF(#REF!,fonctionnement!$C7,#REF!)/1000</f>
        <v>#REF!</v>
      </c>
      <c r="BE7" s="221" t="e">
        <f>SUMIF(#REF!,fonctionnement!$C7,#REF!)/1000</f>
        <v>#REF!</v>
      </c>
      <c r="BF7" s="221" t="e">
        <f t="shared" si="0"/>
        <v>#REF!</v>
      </c>
      <c r="BG7" s="221" t="e">
        <f t="shared" ref="BG7:BG40" si="11">AR7-BF7</f>
        <v>#REF!</v>
      </c>
      <c r="BK7" s="345">
        <v>-3.2</v>
      </c>
      <c r="BL7" s="345"/>
      <c r="BM7" s="345">
        <f t="shared" si="5"/>
        <v>-3.2</v>
      </c>
      <c r="BN7" s="225"/>
    </row>
    <row r="8" spans="1:66" outlineLevel="1" x14ac:dyDescent="0.25">
      <c r="A8" s="32">
        <v>4</v>
      </c>
      <c r="B8" s="31" t="s">
        <v>297</v>
      </c>
      <c r="C8" s="311" t="s">
        <v>333</v>
      </c>
      <c r="D8" s="47">
        <v>-8.8000000000000007</v>
      </c>
      <c r="E8" s="47">
        <v>0</v>
      </c>
      <c r="F8" s="47">
        <f t="shared" si="6"/>
        <v>-8.8000000000000007</v>
      </c>
      <c r="G8" s="53"/>
      <c r="H8" s="53"/>
      <c r="I8" s="47">
        <v>-7.4</v>
      </c>
      <c r="J8" s="47">
        <v>0</v>
      </c>
      <c r="K8" s="54">
        <f>SUM(I8:J8)</f>
        <v>-7.4</v>
      </c>
      <c r="L8" s="54"/>
      <c r="M8" s="54"/>
      <c r="N8" s="54" t="e">
        <f>-SUMIF(#REF!,$C8,#REF!)/1000</f>
        <v>#REF!</v>
      </c>
      <c r="O8" s="54" t="e">
        <f>SUMIF(#REF!,$C8,#REF!)/1000</f>
        <v>#REF!</v>
      </c>
      <c r="P8" s="54" t="e">
        <f t="shared" si="7"/>
        <v>#REF!</v>
      </c>
      <c r="Q8" s="54"/>
      <c r="R8" s="175">
        <v>-6</v>
      </c>
      <c r="S8" s="175"/>
      <c r="T8" s="176">
        <f t="shared" si="8"/>
        <v>-6</v>
      </c>
      <c r="U8" s="54"/>
      <c r="V8" s="475">
        <v>-6.6080100000000002</v>
      </c>
      <c r="W8" s="475">
        <v>0</v>
      </c>
      <c r="X8" s="475">
        <f t="shared" si="9"/>
        <v>-6.6080100000000002</v>
      </c>
      <c r="Y8" s="54"/>
      <c r="Z8" s="54"/>
      <c r="AA8" s="54"/>
      <c r="AB8" s="248">
        <v>-7.2</v>
      </c>
      <c r="AC8" s="248">
        <v>0</v>
      </c>
      <c r="AD8" s="248">
        <f t="shared" si="10"/>
        <v>-7.2</v>
      </c>
      <c r="AE8" s="53"/>
      <c r="AF8" s="53"/>
      <c r="AG8" s="73"/>
      <c r="AH8" s="62"/>
      <c r="AI8" s="148">
        <v>-6.6437299999999997</v>
      </c>
      <c r="AJ8" s="148">
        <v>0</v>
      </c>
      <c r="AK8" s="148">
        <v>-6.6437299999999997</v>
      </c>
      <c r="AL8" s="20"/>
      <c r="AM8" s="20"/>
      <c r="AN8" s="20"/>
      <c r="AO8" s="20"/>
      <c r="AP8" s="339">
        <v>-7.5</v>
      </c>
      <c r="AQ8" s="339"/>
      <c r="AR8" s="339">
        <f t="shared" ref="AR8:AR40" si="12">SUM(AP8:AQ8)</f>
        <v>-7.5</v>
      </c>
      <c r="AS8" s="225"/>
      <c r="AT8" s="20"/>
      <c r="AU8" s="298" t="s">
        <v>534</v>
      </c>
      <c r="AV8" s="303"/>
      <c r="AW8" s="332">
        <v>-6.3311500000000001</v>
      </c>
      <c r="AX8" s="332">
        <v>0</v>
      </c>
      <c r="AY8" s="332">
        <f t="shared" si="2"/>
        <v>-6.3311500000000001</v>
      </c>
      <c r="AZ8" s="303"/>
      <c r="BA8" s="303"/>
      <c r="BB8" s="303"/>
      <c r="BC8" s="303"/>
      <c r="BD8" s="301" t="e">
        <f>-SUMIF(#REF!,fonctionnement!$C8,#REF!)/1000</f>
        <v>#REF!</v>
      </c>
      <c r="BE8" s="221" t="e">
        <f>SUMIF(#REF!,fonctionnement!$C8,#REF!)/1000</f>
        <v>#REF!</v>
      </c>
      <c r="BF8" s="221" t="e">
        <f t="shared" ref="BF8:BF40" si="13">BE8+BD8</f>
        <v>#REF!</v>
      </c>
      <c r="BG8" s="221" t="e">
        <f t="shared" si="11"/>
        <v>#REF!</v>
      </c>
      <c r="BK8" s="345">
        <v>-7.5</v>
      </c>
      <c r="BL8" s="345"/>
      <c r="BM8" s="345">
        <f t="shared" ref="BM8:BM27" si="14">SUM(BK8:BL8)</f>
        <v>-7.5</v>
      </c>
      <c r="BN8" s="225"/>
    </row>
    <row r="9" spans="1:66" outlineLevel="1" x14ac:dyDescent="0.25">
      <c r="A9" s="32">
        <v>5</v>
      </c>
      <c r="B9" s="31" t="s">
        <v>298</v>
      </c>
      <c r="C9" s="311" t="s">
        <v>335</v>
      </c>
      <c r="D9" s="47">
        <v>-8.3000000000000007</v>
      </c>
      <c r="E9" s="47">
        <v>0</v>
      </c>
      <c r="F9" s="47">
        <f t="shared" si="6"/>
        <v>-8.3000000000000007</v>
      </c>
      <c r="G9" s="53"/>
      <c r="H9" s="53"/>
      <c r="I9" s="47">
        <v>-16.3</v>
      </c>
      <c r="J9" s="47">
        <v>0.8</v>
      </c>
      <c r="K9" s="54">
        <f t="shared" ref="K9:K18" si="15">SUM(I9:J9)</f>
        <v>-15.5</v>
      </c>
      <c r="L9" s="54"/>
      <c r="M9" s="54"/>
      <c r="N9" s="54" t="e">
        <f>-SUMIF(#REF!,$C9,#REF!)/1000</f>
        <v>#REF!</v>
      </c>
      <c r="O9" s="54" t="e">
        <f>SUMIF(#REF!,$C9,#REF!)/1000</f>
        <v>#REF!</v>
      </c>
      <c r="P9" s="54" t="e">
        <f t="shared" si="7"/>
        <v>#REF!</v>
      </c>
      <c r="Q9" s="54"/>
      <c r="R9" s="175">
        <v>-2</v>
      </c>
      <c r="S9" s="175"/>
      <c r="T9" s="176">
        <f t="shared" si="8"/>
        <v>-2</v>
      </c>
      <c r="U9" s="54"/>
      <c r="V9" s="475">
        <v>-5.8098200000000002</v>
      </c>
      <c r="W9" s="475">
        <v>0.62</v>
      </c>
      <c r="X9" s="475">
        <f t="shared" si="9"/>
        <v>-5.1898200000000001</v>
      </c>
      <c r="Y9" s="54"/>
      <c r="Z9" s="54"/>
      <c r="AA9" s="54"/>
      <c r="AB9" s="248">
        <v>-6.3</v>
      </c>
      <c r="AC9" s="248">
        <v>0</v>
      </c>
      <c r="AD9" s="248">
        <f t="shared" si="10"/>
        <v>-6.3</v>
      </c>
      <c r="AE9" s="53"/>
      <c r="AF9" s="53"/>
      <c r="AG9" s="73"/>
      <c r="AH9" s="62"/>
      <c r="AI9" s="148">
        <v>-10.662700000000001</v>
      </c>
      <c r="AJ9" s="148">
        <v>1.3505</v>
      </c>
      <c r="AK9" s="148">
        <v>-9.3122000000000007</v>
      </c>
      <c r="AL9" s="20"/>
      <c r="AM9" s="20"/>
      <c r="AN9" s="20"/>
      <c r="AO9" s="20"/>
      <c r="AP9" s="339">
        <v>-9.8000000000000007</v>
      </c>
      <c r="AQ9" s="339"/>
      <c r="AR9" s="339">
        <f t="shared" si="12"/>
        <v>-9.8000000000000007</v>
      </c>
      <c r="AS9" s="225"/>
      <c r="AT9" s="20"/>
      <c r="AU9" s="20" t="s">
        <v>533</v>
      </c>
      <c r="AV9" s="20"/>
      <c r="AW9" s="332">
        <v>-8.7553799999999988</v>
      </c>
      <c r="AX9" s="332">
        <v>0.84</v>
      </c>
      <c r="AY9" s="332">
        <f t="shared" si="2"/>
        <v>-7.915379999999999</v>
      </c>
      <c r="AZ9" s="20"/>
      <c r="BA9" s="20"/>
      <c r="BB9" s="20"/>
      <c r="BC9" s="20"/>
      <c r="BD9" s="301" t="e">
        <f>-SUMIF(#REF!,fonctionnement!$C9,#REF!)/1000</f>
        <v>#REF!</v>
      </c>
      <c r="BE9" s="221" t="e">
        <f>SUMIF(#REF!,fonctionnement!$C9,#REF!)/1000</f>
        <v>#REF!</v>
      </c>
      <c r="BF9" s="221" t="e">
        <f t="shared" si="13"/>
        <v>#REF!</v>
      </c>
      <c r="BG9" s="221" t="e">
        <f t="shared" si="11"/>
        <v>#REF!</v>
      </c>
      <c r="BK9" s="345">
        <v>-7</v>
      </c>
      <c r="BL9" s="345"/>
      <c r="BM9" s="345">
        <f t="shared" si="14"/>
        <v>-7</v>
      </c>
      <c r="BN9" s="225"/>
    </row>
    <row r="10" spans="1:66" outlineLevel="1" x14ac:dyDescent="0.25">
      <c r="A10" s="32">
        <v>6</v>
      </c>
      <c r="B10" s="31" t="s">
        <v>299</v>
      </c>
      <c r="C10" s="311" t="s">
        <v>377</v>
      </c>
      <c r="D10" s="47"/>
      <c r="E10" s="47"/>
      <c r="F10" s="47"/>
      <c r="G10" s="53"/>
      <c r="H10" s="53"/>
      <c r="I10" s="47"/>
      <c r="J10" s="47"/>
      <c r="K10" s="54">
        <v>0</v>
      </c>
      <c r="L10" s="54"/>
      <c r="M10" s="54"/>
      <c r="N10" s="54"/>
      <c r="O10" s="54"/>
      <c r="P10" s="54">
        <v>0</v>
      </c>
      <c r="Q10" s="54"/>
      <c r="R10" s="175"/>
      <c r="S10" s="175"/>
      <c r="T10" s="176"/>
      <c r="U10" s="54"/>
      <c r="V10" s="475">
        <v>-3.7387200000000003</v>
      </c>
      <c r="W10" s="475">
        <v>0.42699999999999999</v>
      </c>
      <c r="X10" s="475">
        <f t="shared" ref="X10" si="16">SUM(V10:W10)</f>
        <v>-3.3117200000000002</v>
      </c>
      <c r="Y10" s="54"/>
      <c r="Z10" s="54"/>
      <c r="AA10" s="54"/>
      <c r="AB10" s="248">
        <v>-2.8</v>
      </c>
      <c r="AC10" s="248">
        <v>0</v>
      </c>
      <c r="AD10" s="248">
        <f t="shared" si="10"/>
        <v>-2.8</v>
      </c>
      <c r="AE10" s="53"/>
      <c r="AF10" s="53"/>
      <c r="AG10" s="73"/>
      <c r="AH10" s="62"/>
      <c r="AI10" s="148">
        <v>-6.2093699999999998</v>
      </c>
      <c r="AJ10" s="148">
        <v>0.26900000000000002</v>
      </c>
      <c r="AK10" s="148">
        <v>-5.9403699999999997</v>
      </c>
      <c r="AL10" s="20"/>
      <c r="AM10" s="20"/>
      <c r="AN10" s="20"/>
      <c r="AO10" s="20"/>
      <c r="AP10" s="339">
        <v>-7.4</v>
      </c>
      <c r="AQ10" s="339"/>
      <c r="AR10" s="339">
        <f t="shared" si="12"/>
        <v>-7.4</v>
      </c>
      <c r="AS10" s="225"/>
      <c r="AT10" s="20"/>
      <c r="AU10" s="20" t="s">
        <v>535</v>
      </c>
      <c r="AV10" s="20"/>
      <c r="AW10" s="332">
        <v>-15.12215</v>
      </c>
      <c r="AX10" s="332">
        <v>0.59899999999999998</v>
      </c>
      <c r="AY10" s="332">
        <f t="shared" si="2"/>
        <v>-14.523149999999999</v>
      </c>
      <c r="AZ10" s="20"/>
      <c r="BA10" s="20"/>
      <c r="BB10" s="20"/>
      <c r="BC10" s="20"/>
      <c r="BD10" s="301" t="e">
        <f>-SUMIF(#REF!,fonctionnement!$C10,#REF!)/1000</f>
        <v>#REF!</v>
      </c>
      <c r="BE10" s="221" t="e">
        <f>SUMIF(#REF!,fonctionnement!$C10,#REF!)/1000</f>
        <v>#REF!</v>
      </c>
      <c r="BF10" s="221" t="e">
        <f t="shared" si="13"/>
        <v>#REF!</v>
      </c>
      <c r="BG10" s="221" t="e">
        <f t="shared" si="11"/>
        <v>#REF!</v>
      </c>
      <c r="BK10" s="345">
        <v>-7</v>
      </c>
      <c r="BL10" s="345"/>
      <c r="BM10" s="345">
        <f t="shared" si="14"/>
        <v>-7</v>
      </c>
      <c r="BN10" s="225"/>
    </row>
    <row r="11" spans="1:66" outlineLevel="1" x14ac:dyDescent="0.25">
      <c r="A11" s="32">
        <v>7</v>
      </c>
      <c r="B11" s="31" t="s">
        <v>300</v>
      </c>
      <c r="C11" s="311" t="s">
        <v>349</v>
      </c>
      <c r="D11" s="47">
        <v>-5</v>
      </c>
      <c r="E11" s="47">
        <v>0</v>
      </c>
      <c r="F11" s="47">
        <f t="shared" si="6"/>
        <v>-5</v>
      </c>
      <c r="G11" s="53"/>
      <c r="H11" s="53"/>
      <c r="I11" s="47">
        <v>-5.5</v>
      </c>
      <c r="J11" s="47">
        <v>0</v>
      </c>
      <c r="K11" s="54">
        <f t="shared" si="15"/>
        <v>-5.5</v>
      </c>
      <c r="L11" s="54"/>
      <c r="M11" s="54"/>
      <c r="N11" s="54" t="e">
        <f>-SUMIF(#REF!,$C11,#REF!)/1000</f>
        <v>#REF!</v>
      </c>
      <c r="O11" s="54" t="e">
        <f>SUMIF(#REF!,$C11,#REF!)/1000</f>
        <v>#REF!</v>
      </c>
      <c r="P11" s="54" t="e">
        <f t="shared" si="7"/>
        <v>#REF!</v>
      </c>
      <c r="Q11" s="54"/>
      <c r="R11" s="175">
        <v>-5.3</v>
      </c>
      <c r="S11" s="175"/>
      <c r="T11" s="176">
        <f t="shared" si="8"/>
        <v>-5.3</v>
      </c>
      <c r="U11" s="54"/>
      <c r="V11" s="475">
        <v>-5.681</v>
      </c>
      <c r="W11" s="475">
        <v>0</v>
      </c>
      <c r="X11" s="475">
        <f t="shared" si="9"/>
        <v>-5.681</v>
      </c>
      <c r="Y11" s="54"/>
      <c r="Z11" s="54"/>
      <c r="AA11" s="54"/>
      <c r="AB11" s="248">
        <v>-5.7</v>
      </c>
      <c r="AC11" s="248">
        <v>0</v>
      </c>
      <c r="AD11" s="248">
        <f t="shared" si="10"/>
        <v>-5.7</v>
      </c>
      <c r="AE11" s="53"/>
      <c r="AF11" s="53"/>
      <c r="AG11" s="73"/>
      <c r="AH11" s="62"/>
      <c r="AI11" s="148">
        <v>-6.0190000000000001</v>
      </c>
      <c r="AJ11" s="148">
        <v>0</v>
      </c>
      <c r="AK11" s="148">
        <v>-6.0190000000000001</v>
      </c>
      <c r="AL11" s="20"/>
      <c r="AM11" s="20"/>
      <c r="AN11" s="20"/>
      <c r="AO11" s="20"/>
      <c r="AP11" s="339">
        <v>-6</v>
      </c>
      <c r="AQ11" s="339"/>
      <c r="AR11" s="339">
        <f t="shared" si="12"/>
        <v>-6</v>
      </c>
      <c r="AS11" s="225"/>
      <c r="AT11" s="20"/>
      <c r="AU11" s="20"/>
      <c r="AV11" s="20"/>
      <c r="AW11" s="332">
        <v>-6.4290000000000003</v>
      </c>
      <c r="AX11" s="332">
        <v>0</v>
      </c>
      <c r="AY11" s="332">
        <f t="shared" si="2"/>
        <v>-6.4290000000000003</v>
      </c>
      <c r="AZ11" s="20"/>
      <c r="BA11" s="20"/>
      <c r="BB11" s="20"/>
      <c r="BC11" s="20"/>
      <c r="BD11" s="301" t="e">
        <f>-SUMIF(#REF!,fonctionnement!$C11,#REF!)/1000</f>
        <v>#REF!</v>
      </c>
      <c r="BE11" s="221" t="e">
        <f>SUMIF(#REF!,fonctionnement!$C11,#REF!)/1000</f>
        <v>#REF!</v>
      </c>
      <c r="BF11" s="221" t="e">
        <f t="shared" si="13"/>
        <v>#REF!</v>
      </c>
      <c r="BG11" s="221" t="e">
        <f t="shared" si="11"/>
        <v>#REF!</v>
      </c>
      <c r="BK11" s="345">
        <v>-6.4</v>
      </c>
      <c r="BL11" s="345"/>
      <c r="BM11" s="345">
        <f t="shared" si="14"/>
        <v>-6.4</v>
      </c>
      <c r="BN11" s="225"/>
    </row>
    <row r="12" spans="1:66" outlineLevel="1" x14ac:dyDescent="0.25">
      <c r="A12" s="32">
        <v>8</v>
      </c>
      <c r="B12" s="31" t="s">
        <v>301</v>
      </c>
      <c r="C12" s="311" t="s">
        <v>337</v>
      </c>
      <c r="D12" s="47">
        <v>-7.8</v>
      </c>
      <c r="E12" s="47">
        <v>1.5</v>
      </c>
      <c r="F12" s="47">
        <f t="shared" si="6"/>
        <v>-6.3</v>
      </c>
      <c r="G12" s="53"/>
      <c r="H12" s="53"/>
      <c r="I12" s="47">
        <v>-8.6</v>
      </c>
      <c r="J12" s="47">
        <v>2.2000000000000002</v>
      </c>
      <c r="K12" s="54">
        <f t="shared" si="15"/>
        <v>-6.3999999999999995</v>
      </c>
      <c r="L12" s="54"/>
      <c r="M12" s="54"/>
      <c r="N12" s="54" t="e">
        <f>-SUMIF(#REF!,$C12,#REF!)/1000</f>
        <v>#REF!</v>
      </c>
      <c r="O12" s="54" t="e">
        <f>SUMIF(#REF!,$C12,#REF!)/1000</f>
        <v>#REF!</v>
      </c>
      <c r="P12" s="54" t="e">
        <f t="shared" si="7"/>
        <v>#REF!</v>
      </c>
      <c r="Q12" s="54"/>
      <c r="R12" s="175">
        <v>-6</v>
      </c>
      <c r="S12" s="175"/>
      <c r="T12" s="176">
        <f t="shared" si="8"/>
        <v>-6</v>
      </c>
      <c r="U12" s="54"/>
      <c r="V12" s="475">
        <v>-8.7776800000000001</v>
      </c>
      <c r="W12" s="475">
        <v>1.3423099999999999</v>
      </c>
      <c r="X12" s="475">
        <f t="shared" si="9"/>
        <v>-7.4353700000000007</v>
      </c>
      <c r="Y12" s="54"/>
      <c r="Z12" s="54"/>
      <c r="AA12" s="54"/>
      <c r="AB12" s="248">
        <v>-7.3</v>
      </c>
      <c r="AC12" s="248">
        <v>0</v>
      </c>
      <c r="AD12" s="248">
        <f t="shared" si="10"/>
        <v>-7.3</v>
      </c>
      <c r="AE12" s="53"/>
      <c r="AF12" s="53"/>
      <c r="AG12" s="73"/>
      <c r="AH12" s="62"/>
      <c r="AI12" s="148">
        <v>-9.7771600000000003</v>
      </c>
      <c r="AJ12" s="148">
        <v>1.00457</v>
      </c>
      <c r="AK12" s="148">
        <v>-8.772590000000001</v>
      </c>
      <c r="AL12" s="20"/>
      <c r="AM12" s="20"/>
      <c r="AN12" s="20"/>
      <c r="AO12" s="20"/>
      <c r="AP12" s="339">
        <v>-7.5</v>
      </c>
      <c r="AQ12" s="339"/>
      <c r="AR12" s="339">
        <f t="shared" si="12"/>
        <v>-7.5</v>
      </c>
      <c r="AS12" s="225"/>
      <c r="AT12" s="20"/>
      <c r="AU12" s="299" t="s">
        <v>536</v>
      </c>
      <c r="AV12" s="304"/>
      <c r="AW12" s="332">
        <v>-11.967010000000002</v>
      </c>
      <c r="AX12" s="332">
        <v>1.96316</v>
      </c>
      <c r="AY12" s="332">
        <f t="shared" si="2"/>
        <v>-10.003850000000002</v>
      </c>
      <c r="AZ12" s="304"/>
      <c r="BA12" s="304"/>
      <c r="BB12" s="304"/>
      <c r="BC12" s="304"/>
      <c r="BD12" s="301" t="e">
        <f>-SUMIF(#REF!,fonctionnement!$C12,#REF!)/1000</f>
        <v>#REF!</v>
      </c>
      <c r="BE12" s="221" t="e">
        <f>SUMIF(#REF!,fonctionnement!$C12,#REF!)/1000</f>
        <v>#REF!</v>
      </c>
      <c r="BF12" s="221" t="e">
        <f t="shared" si="13"/>
        <v>#REF!</v>
      </c>
      <c r="BG12" s="221" t="e">
        <f t="shared" si="11"/>
        <v>#REF!</v>
      </c>
      <c r="BK12" s="345">
        <v>-7.5</v>
      </c>
      <c r="BL12" s="345"/>
      <c r="BM12" s="345">
        <f t="shared" si="14"/>
        <v>-7.5</v>
      </c>
      <c r="BN12" s="225"/>
    </row>
    <row r="13" spans="1:66" outlineLevel="1" x14ac:dyDescent="0.25">
      <c r="A13" s="32">
        <v>9</v>
      </c>
      <c r="B13" s="31" t="s">
        <v>302</v>
      </c>
      <c r="C13" s="311" t="s">
        <v>338</v>
      </c>
      <c r="D13" s="47">
        <v>-2.4</v>
      </c>
      <c r="E13" s="47">
        <v>0.1</v>
      </c>
      <c r="F13" s="47">
        <f t="shared" si="6"/>
        <v>-2.2999999999999998</v>
      </c>
      <c r="G13" s="53"/>
      <c r="H13" s="53"/>
      <c r="I13" s="47">
        <v>-2.8</v>
      </c>
      <c r="J13" s="47">
        <v>0</v>
      </c>
      <c r="K13" s="54">
        <f t="shared" si="15"/>
        <v>-2.8</v>
      </c>
      <c r="L13" s="54"/>
      <c r="M13" s="54"/>
      <c r="N13" s="54" t="e">
        <f>-SUMIF(#REF!,$C13,#REF!)/1000</f>
        <v>#REF!</v>
      </c>
      <c r="O13" s="54" t="e">
        <f>SUMIF(#REF!,$C13,#REF!)/1000</f>
        <v>#REF!</v>
      </c>
      <c r="P13" s="54" t="e">
        <f t="shared" si="7"/>
        <v>#REF!</v>
      </c>
      <c r="Q13" s="54"/>
      <c r="R13" s="175">
        <v>-2.7</v>
      </c>
      <c r="S13" s="175"/>
      <c r="T13" s="176">
        <f t="shared" si="8"/>
        <v>-2.7</v>
      </c>
      <c r="U13" s="54"/>
      <c r="V13" s="475">
        <v>-2.5124</v>
      </c>
      <c r="W13" s="475">
        <v>0</v>
      </c>
      <c r="X13" s="475">
        <f t="shared" si="9"/>
        <v>-2.5124</v>
      </c>
      <c r="Y13" s="54"/>
      <c r="Z13" s="54"/>
      <c r="AA13" s="54"/>
      <c r="AB13" s="248">
        <v>-2.8</v>
      </c>
      <c r="AC13" s="248">
        <v>0</v>
      </c>
      <c r="AD13" s="248">
        <f t="shared" si="10"/>
        <v>-2.8</v>
      </c>
      <c r="AE13" s="53"/>
      <c r="AF13" s="53"/>
      <c r="AG13" s="73"/>
      <c r="AH13" s="62"/>
      <c r="AI13" s="148">
        <v>-2.9091300000000002</v>
      </c>
      <c r="AJ13" s="148">
        <v>7.331E-2</v>
      </c>
      <c r="AK13" s="148">
        <v>-2.83582</v>
      </c>
      <c r="AL13" s="20"/>
      <c r="AM13" s="20"/>
      <c r="AN13" s="20"/>
      <c r="AO13" s="20"/>
      <c r="AP13" s="339">
        <v>-2.2000000000000002</v>
      </c>
      <c r="AQ13" s="339"/>
      <c r="AR13" s="339">
        <f t="shared" si="12"/>
        <v>-2.2000000000000002</v>
      </c>
      <c r="AS13" s="225"/>
      <c r="AT13" s="20"/>
      <c r="AU13" s="20" t="s">
        <v>537</v>
      </c>
      <c r="AV13" s="20"/>
      <c r="AW13" s="332">
        <v>-2.7563900000000001</v>
      </c>
      <c r="AX13" s="332">
        <v>0.11597</v>
      </c>
      <c r="AY13" s="332">
        <f t="shared" si="2"/>
        <v>-2.6404200000000002</v>
      </c>
      <c r="AZ13" s="20"/>
      <c r="BA13" s="20"/>
      <c r="BB13" s="20"/>
      <c r="BC13" s="20"/>
      <c r="BD13" s="301" t="e">
        <f>-SUMIF(#REF!,fonctionnement!$C13,#REF!)/1000</f>
        <v>#REF!</v>
      </c>
      <c r="BE13" s="221" t="e">
        <f>SUMIF(#REF!,fonctionnement!$C13,#REF!)/1000</f>
        <v>#REF!</v>
      </c>
      <c r="BF13" s="221" t="e">
        <f t="shared" si="13"/>
        <v>#REF!</v>
      </c>
      <c r="BG13" s="221" t="e">
        <f t="shared" si="11"/>
        <v>#REF!</v>
      </c>
      <c r="BK13" s="345">
        <v>-2.2000000000000002</v>
      </c>
      <c r="BL13" s="345"/>
      <c r="BM13" s="345">
        <f t="shared" si="14"/>
        <v>-2.2000000000000002</v>
      </c>
      <c r="BN13" s="225"/>
    </row>
    <row r="14" spans="1:66" outlineLevel="2" x14ac:dyDescent="0.25">
      <c r="A14" s="32">
        <v>10</v>
      </c>
      <c r="B14" s="74" t="s">
        <v>303</v>
      </c>
      <c r="C14" s="316" t="s">
        <v>351</v>
      </c>
      <c r="D14" s="75">
        <v>-2.5</v>
      </c>
      <c r="E14" s="75">
        <v>0</v>
      </c>
      <c r="F14" s="75">
        <f t="shared" si="6"/>
        <v>-2.5</v>
      </c>
      <c r="G14" s="76"/>
      <c r="H14" s="76"/>
      <c r="I14" s="75">
        <v>-3.3</v>
      </c>
      <c r="J14" s="75">
        <v>0.3</v>
      </c>
      <c r="K14" s="77">
        <f t="shared" si="15"/>
        <v>-3</v>
      </c>
      <c r="L14" s="77"/>
      <c r="M14" s="77"/>
      <c r="N14" s="77" t="e">
        <f>-SUMIF(#REF!,$C14,#REF!)/1000</f>
        <v>#REF!</v>
      </c>
      <c r="O14" s="77" t="e">
        <f>SUMIF(#REF!,$C14,#REF!)/1000</f>
        <v>#REF!</v>
      </c>
      <c r="P14" s="77" t="e">
        <f t="shared" si="7"/>
        <v>#REF!</v>
      </c>
      <c r="Q14" s="77"/>
      <c r="R14" s="177">
        <v>-1.8</v>
      </c>
      <c r="S14" s="177"/>
      <c r="T14" s="178">
        <f t="shared" si="8"/>
        <v>-1.8</v>
      </c>
      <c r="U14" s="77"/>
      <c r="V14" s="476">
        <v>-1.2787500000000001</v>
      </c>
      <c r="W14" s="476">
        <v>0</v>
      </c>
      <c r="X14" s="476">
        <f t="shared" si="9"/>
        <v>-1.2787500000000001</v>
      </c>
      <c r="Y14" s="77"/>
      <c r="Z14" s="77"/>
      <c r="AA14" s="77"/>
      <c r="AB14" s="261">
        <v>-3</v>
      </c>
      <c r="AC14" s="261">
        <v>0</v>
      </c>
      <c r="AD14" s="261">
        <f t="shared" si="10"/>
        <v>-3</v>
      </c>
      <c r="AE14" s="53"/>
      <c r="AF14" s="53"/>
      <c r="AG14" s="73"/>
      <c r="AH14" s="62"/>
      <c r="AI14" s="148">
        <v>-4.6647699999999999</v>
      </c>
      <c r="AJ14" s="148">
        <v>4.4400000000000002E-2</v>
      </c>
      <c r="AK14" s="148">
        <v>-4.6203699999999994</v>
      </c>
      <c r="AL14" s="20"/>
      <c r="AM14" s="20"/>
      <c r="AN14" s="20"/>
      <c r="AO14" s="20"/>
      <c r="AP14" s="339">
        <v>-2</v>
      </c>
      <c r="AQ14" s="339"/>
      <c r="AR14" s="339">
        <f t="shared" si="12"/>
        <v>-2</v>
      </c>
      <c r="AS14" s="225"/>
      <c r="AT14" s="20"/>
      <c r="AU14" s="299" t="s">
        <v>538</v>
      </c>
      <c r="AV14" s="304"/>
      <c r="AW14" s="332">
        <v>-3.9604900000000001</v>
      </c>
      <c r="AX14" s="332">
        <v>0</v>
      </c>
      <c r="AY14" s="332">
        <f t="shared" si="2"/>
        <v>-3.9604900000000001</v>
      </c>
      <c r="AZ14" s="304"/>
      <c r="BA14" s="304"/>
      <c r="BB14" s="304"/>
      <c r="BC14" s="304"/>
      <c r="BD14" s="301" t="e">
        <f>-SUMIF(#REF!,fonctionnement!$C14,#REF!)/1000</f>
        <v>#REF!</v>
      </c>
      <c r="BE14" s="221" t="e">
        <f>SUMIF(#REF!,fonctionnement!$C14,#REF!)/1000</f>
        <v>#REF!</v>
      </c>
      <c r="BF14" s="221" t="e">
        <f t="shared" si="13"/>
        <v>#REF!</v>
      </c>
      <c r="BG14" s="221" t="e">
        <f t="shared" si="11"/>
        <v>#REF!</v>
      </c>
      <c r="BK14" s="345">
        <v>-2</v>
      </c>
      <c r="BL14" s="345"/>
      <c r="BM14" s="345">
        <f t="shared" si="14"/>
        <v>-2</v>
      </c>
      <c r="BN14" s="225"/>
    </row>
    <row r="15" spans="1:66" outlineLevel="2" x14ac:dyDescent="0.25">
      <c r="A15" s="32">
        <v>11</v>
      </c>
      <c r="B15" s="74" t="s">
        <v>303</v>
      </c>
      <c r="C15" s="316" t="s">
        <v>378</v>
      </c>
      <c r="D15" s="75"/>
      <c r="E15" s="75"/>
      <c r="F15" s="75"/>
      <c r="G15" s="76"/>
      <c r="H15" s="76"/>
      <c r="I15" s="75"/>
      <c r="J15" s="75"/>
      <c r="K15" s="77"/>
      <c r="L15" s="77"/>
      <c r="M15" s="77"/>
      <c r="N15" s="77"/>
      <c r="O15" s="77"/>
      <c r="P15" s="77"/>
      <c r="Q15" s="77"/>
      <c r="R15" s="177"/>
      <c r="S15" s="177"/>
      <c r="T15" s="178"/>
      <c r="U15" s="77"/>
      <c r="V15" s="476">
        <v>-3.0251700000000001</v>
      </c>
      <c r="W15" s="476">
        <v>0</v>
      </c>
      <c r="X15" s="476">
        <f t="shared" ref="X15" si="17">SUM(V15:W15)</f>
        <v>-3.0251700000000001</v>
      </c>
      <c r="Y15" s="77"/>
      <c r="Z15" s="77"/>
      <c r="AA15" s="77"/>
      <c r="AB15" s="261"/>
      <c r="AC15" s="261"/>
      <c r="AD15" s="261"/>
      <c r="AE15" s="53"/>
      <c r="AF15" s="53"/>
      <c r="AG15" s="73"/>
      <c r="AH15" s="62"/>
      <c r="AI15" s="148">
        <v>0</v>
      </c>
      <c r="AJ15" s="148">
        <v>0</v>
      </c>
      <c r="AK15" s="148">
        <v>0</v>
      </c>
      <c r="AL15" s="20"/>
      <c r="AM15" s="20"/>
      <c r="AN15" s="20"/>
      <c r="AO15" s="20"/>
      <c r="AP15" s="339"/>
      <c r="AQ15" s="339"/>
      <c r="AR15" s="339">
        <f t="shared" si="12"/>
        <v>0</v>
      </c>
      <c r="AS15" s="225"/>
      <c r="AT15" s="20"/>
      <c r="AU15" s="299"/>
      <c r="AV15" s="304"/>
      <c r="AW15" s="332">
        <v>-1.4546100000000002</v>
      </c>
      <c r="AX15" s="332">
        <v>0</v>
      </c>
      <c r="AY15" s="332">
        <f t="shared" si="2"/>
        <v>-1.4546100000000002</v>
      </c>
      <c r="AZ15" s="304"/>
      <c r="BA15" s="304"/>
      <c r="BB15" s="304"/>
      <c r="BC15" s="304"/>
      <c r="BD15" s="301" t="e">
        <f>-SUMIF(#REF!,fonctionnement!$C15,#REF!)/1000</f>
        <v>#REF!</v>
      </c>
      <c r="BE15" s="221" t="e">
        <f>SUMIF(#REF!,fonctionnement!$C15,#REF!)/1000</f>
        <v>#REF!</v>
      </c>
      <c r="BF15" s="221" t="e">
        <f t="shared" si="13"/>
        <v>#REF!</v>
      </c>
      <c r="BG15" s="221" t="e">
        <f t="shared" si="11"/>
        <v>#REF!</v>
      </c>
      <c r="BK15" s="345"/>
      <c r="BL15" s="345"/>
      <c r="BM15" s="345">
        <f t="shared" si="14"/>
        <v>0</v>
      </c>
      <c r="BN15" s="225"/>
    </row>
    <row r="16" spans="1:66" outlineLevel="1" x14ac:dyDescent="0.25">
      <c r="A16" s="32">
        <v>12</v>
      </c>
      <c r="B16" s="31" t="s">
        <v>304</v>
      </c>
      <c r="C16" s="311" t="s">
        <v>352</v>
      </c>
      <c r="D16" s="47">
        <v>-2.4</v>
      </c>
      <c r="E16" s="47">
        <v>0.3</v>
      </c>
      <c r="F16" s="47">
        <f t="shared" si="6"/>
        <v>-2.1</v>
      </c>
      <c r="G16" s="53"/>
      <c r="H16" s="53"/>
      <c r="I16" s="47">
        <v>-2.2999999999999998</v>
      </c>
      <c r="J16" s="47">
        <v>0</v>
      </c>
      <c r="K16" s="54">
        <f t="shared" si="15"/>
        <v>-2.2999999999999998</v>
      </c>
      <c r="L16" s="54"/>
      <c r="M16" s="54"/>
      <c r="N16" s="54" t="e">
        <f>-SUMIF(#REF!,$C16,#REF!)/1000</f>
        <v>#REF!</v>
      </c>
      <c r="O16" s="54" t="e">
        <f>SUMIF(#REF!,$C16,#REF!)/1000</f>
        <v>#REF!</v>
      </c>
      <c r="P16" s="54" t="e">
        <f t="shared" si="7"/>
        <v>#REF!</v>
      </c>
      <c r="Q16" s="54"/>
      <c r="R16" s="175">
        <v>-2.2000000000000002</v>
      </c>
      <c r="S16" s="175">
        <v>0</v>
      </c>
      <c r="T16" s="176">
        <f t="shared" si="8"/>
        <v>-2.2000000000000002</v>
      </c>
      <c r="U16" s="54"/>
      <c r="V16" s="475">
        <v>-0.21283000000000002</v>
      </c>
      <c r="W16" s="475">
        <v>0</v>
      </c>
      <c r="X16" s="475">
        <f t="shared" si="9"/>
        <v>-0.21283000000000002</v>
      </c>
      <c r="Y16" s="54"/>
      <c r="Z16" s="54"/>
      <c r="AA16" s="54"/>
      <c r="AB16" s="248">
        <v>-2</v>
      </c>
      <c r="AC16" s="248">
        <v>0</v>
      </c>
      <c r="AD16" s="248">
        <f t="shared" si="10"/>
        <v>-2</v>
      </c>
      <c r="AE16" s="53"/>
      <c r="AF16" s="53"/>
      <c r="AG16" s="73"/>
      <c r="AH16" s="62"/>
      <c r="AI16" s="148">
        <v>-1.69469</v>
      </c>
      <c r="AJ16" s="148">
        <v>0</v>
      </c>
      <c r="AK16" s="148">
        <v>-1.69469</v>
      </c>
      <c r="AL16" s="20"/>
      <c r="AM16" s="20"/>
      <c r="AN16" s="20"/>
      <c r="AO16" s="20"/>
      <c r="AP16" s="339">
        <v>-1.6</v>
      </c>
      <c r="AQ16" s="339"/>
      <c r="AR16" s="339">
        <f t="shared" si="12"/>
        <v>-1.6</v>
      </c>
      <c r="AS16" s="225"/>
      <c r="AT16" s="20"/>
      <c r="AU16" s="299" t="s">
        <v>539</v>
      </c>
      <c r="AV16" s="304"/>
      <c r="AW16" s="332">
        <v>-1.8881100000000002</v>
      </c>
      <c r="AX16" s="332">
        <v>0</v>
      </c>
      <c r="AY16" s="332">
        <f t="shared" si="2"/>
        <v>-1.8881100000000002</v>
      </c>
      <c r="AZ16" s="304"/>
      <c r="BA16" s="304"/>
      <c r="BB16" s="304"/>
      <c r="BC16" s="304"/>
      <c r="BD16" s="301" t="e">
        <f>-SUMIF(#REF!,fonctionnement!$C16,#REF!)/1000</f>
        <v>#REF!</v>
      </c>
      <c r="BE16" s="221" t="e">
        <f>SUMIF(#REF!,fonctionnement!$C16,#REF!)/1000</f>
        <v>#REF!</v>
      </c>
      <c r="BF16" s="221" t="e">
        <f t="shared" si="13"/>
        <v>#REF!</v>
      </c>
      <c r="BG16" s="221" t="e">
        <f t="shared" si="11"/>
        <v>#REF!</v>
      </c>
      <c r="BK16" s="345">
        <v>-1.2</v>
      </c>
      <c r="BL16" s="345"/>
      <c r="BM16" s="345">
        <f t="shared" si="14"/>
        <v>-1.2</v>
      </c>
      <c r="BN16" s="225"/>
    </row>
    <row r="17" spans="1:66" outlineLevel="2" x14ac:dyDescent="0.25">
      <c r="A17" s="32">
        <v>13</v>
      </c>
      <c r="B17" s="31" t="s">
        <v>45</v>
      </c>
      <c r="C17" s="311" t="s">
        <v>606</v>
      </c>
      <c r="D17" s="47">
        <v>-0.7</v>
      </c>
      <c r="E17" s="63">
        <v>3.5</v>
      </c>
      <c r="F17" s="47">
        <f>SUM(D17:E17)</f>
        <v>2.8</v>
      </c>
      <c r="G17" s="53"/>
      <c r="H17" s="53"/>
      <c r="I17" s="47"/>
      <c r="J17" s="47"/>
      <c r="K17" s="54"/>
      <c r="L17" s="54"/>
      <c r="M17" s="54"/>
      <c r="N17" s="54"/>
      <c r="O17" s="54"/>
      <c r="P17" s="54"/>
      <c r="Q17" s="54"/>
      <c r="R17" s="175">
        <v>-17.457999999999998</v>
      </c>
      <c r="S17" s="175"/>
      <c r="T17" s="176">
        <f>SUM(R17:S17)</f>
        <v>-17.457999999999998</v>
      </c>
      <c r="U17" s="54"/>
      <c r="V17" s="475">
        <v>0</v>
      </c>
      <c r="W17" s="475">
        <v>0</v>
      </c>
      <c r="X17" s="475">
        <f>SUM(V17:W17)</f>
        <v>0</v>
      </c>
      <c r="Y17" s="54"/>
      <c r="Z17" s="54"/>
      <c r="AA17" s="54"/>
      <c r="AB17" s="248">
        <v>0</v>
      </c>
      <c r="AC17" s="248">
        <v>0</v>
      </c>
      <c r="AD17" s="248">
        <f>SUM(AB17:AC17)</f>
        <v>0</v>
      </c>
      <c r="AE17" s="53"/>
      <c r="AF17" s="53"/>
      <c r="AG17" s="73"/>
      <c r="AH17" s="62"/>
      <c r="AI17" s="148">
        <v>0</v>
      </c>
      <c r="AJ17" s="148">
        <v>0</v>
      </c>
      <c r="AK17" s="148">
        <v>0</v>
      </c>
      <c r="AL17" s="20"/>
      <c r="AM17" s="20"/>
      <c r="AN17" s="20"/>
      <c r="AO17" s="20"/>
      <c r="AP17" s="339">
        <v>-8</v>
      </c>
      <c r="AQ17" s="339"/>
      <c r="AR17" s="339">
        <f t="shared" si="12"/>
        <v>-8</v>
      </c>
      <c r="AS17" s="225"/>
      <c r="AT17" s="20"/>
      <c r="AU17" s="299" t="s">
        <v>540</v>
      </c>
      <c r="AV17" s="304"/>
      <c r="AW17" s="332">
        <v>0</v>
      </c>
      <c r="AX17" s="332">
        <v>0</v>
      </c>
      <c r="AY17" s="332">
        <f t="shared" si="2"/>
        <v>0</v>
      </c>
      <c r="AZ17" s="304"/>
      <c r="BA17" s="304"/>
      <c r="BB17" s="304"/>
      <c r="BC17" s="304"/>
      <c r="BD17" s="301" t="e">
        <f>-SUMIF(#REF!,fonctionnement!$C17,#REF!)/1000</f>
        <v>#REF!</v>
      </c>
      <c r="BE17" s="221" t="e">
        <f>SUMIF(#REF!,fonctionnement!$C17,#REF!)/1000</f>
        <v>#REF!</v>
      </c>
      <c r="BF17" s="221" t="e">
        <f t="shared" si="13"/>
        <v>#REF!</v>
      </c>
      <c r="BG17" s="221" t="e">
        <f t="shared" si="11"/>
        <v>#REF!</v>
      </c>
      <c r="BK17" s="345">
        <v>-8</v>
      </c>
      <c r="BL17" s="345"/>
      <c r="BM17" s="345">
        <f t="shared" si="14"/>
        <v>-8</v>
      </c>
      <c r="BN17" s="225"/>
    </row>
    <row r="18" spans="1:66" outlineLevel="2" x14ac:dyDescent="0.25">
      <c r="A18" s="32">
        <v>14</v>
      </c>
      <c r="B18" s="31" t="s">
        <v>305</v>
      </c>
      <c r="C18" s="311" t="s">
        <v>383</v>
      </c>
      <c r="D18" s="47">
        <v>-1</v>
      </c>
      <c r="E18" s="47">
        <v>0</v>
      </c>
      <c r="F18" s="47">
        <f t="shared" si="6"/>
        <v>-1</v>
      </c>
      <c r="G18" s="53"/>
      <c r="H18" s="53"/>
      <c r="I18" s="47">
        <v>0</v>
      </c>
      <c r="J18" s="47">
        <v>0</v>
      </c>
      <c r="K18" s="54">
        <f t="shared" si="15"/>
        <v>0</v>
      </c>
      <c r="L18" s="54"/>
      <c r="M18" s="54"/>
      <c r="N18" s="54" t="e">
        <f>-SUMIF(#REF!,$C18,#REF!)/1000</f>
        <v>#REF!</v>
      </c>
      <c r="O18" s="54" t="e">
        <f>SUMIF(#REF!,$C18,#REF!)/1000</f>
        <v>#REF!</v>
      </c>
      <c r="P18" s="54" t="e">
        <f t="shared" si="7"/>
        <v>#REF!</v>
      </c>
      <c r="Q18" s="54"/>
      <c r="R18" s="175">
        <v>0</v>
      </c>
      <c r="S18" s="175"/>
      <c r="T18" s="176">
        <f t="shared" si="8"/>
        <v>0</v>
      </c>
      <c r="U18" s="54"/>
      <c r="V18" s="475">
        <v>-1.9199999999999998E-2</v>
      </c>
      <c r="W18" s="475">
        <v>1.728E-2</v>
      </c>
      <c r="X18" s="475">
        <f t="shared" si="9"/>
        <v>-1.9199999999999981E-3</v>
      </c>
      <c r="Y18" s="54"/>
      <c r="Z18" s="54"/>
      <c r="AA18" s="54"/>
      <c r="AB18" s="248">
        <v>0</v>
      </c>
      <c r="AC18" s="248">
        <v>0</v>
      </c>
      <c r="AD18" s="248">
        <f t="shared" si="10"/>
        <v>0</v>
      </c>
      <c r="AE18" s="53"/>
      <c r="AF18" s="53"/>
      <c r="AG18" s="73"/>
      <c r="AH18" s="62"/>
      <c r="AI18" s="148">
        <v>0</v>
      </c>
      <c r="AJ18" s="148">
        <v>0</v>
      </c>
      <c r="AK18" s="148">
        <v>0</v>
      </c>
      <c r="AL18" s="20"/>
      <c r="AM18" s="20"/>
      <c r="AN18" s="20"/>
      <c r="AO18" s="20"/>
      <c r="AP18" s="339"/>
      <c r="AQ18" s="339"/>
      <c r="AR18" s="339">
        <f t="shared" si="12"/>
        <v>0</v>
      </c>
      <c r="AS18" s="225"/>
      <c r="AT18" s="20"/>
      <c r="AW18" s="332">
        <v>-2.6752899999999999</v>
      </c>
      <c r="AX18" s="332">
        <v>1.0640099999999999</v>
      </c>
      <c r="AY18" s="332">
        <f t="shared" si="2"/>
        <v>-1.61128</v>
      </c>
      <c r="BD18" s="301" t="e">
        <f>-SUMIF(#REF!,fonctionnement!$C18,#REF!)/1000</f>
        <v>#REF!</v>
      </c>
      <c r="BE18" s="221" t="e">
        <f>SUMIF(#REF!,fonctionnement!$C18,#REF!)/1000</f>
        <v>#REF!</v>
      </c>
      <c r="BF18" s="221" t="e">
        <f t="shared" si="13"/>
        <v>#REF!</v>
      </c>
      <c r="BG18" s="221" t="e">
        <f t="shared" si="11"/>
        <v>#REF!</v>
      </c>
      <c r="BK18" s="345"/>
      <c r="BL18" s="345"/>
      <c r="BM18" s="345">
        <f t="shared" si="14"/>
        <v>0</v>
      </c>
      <c r="BN18" s="225"/>
    </row>
    <row r="19" spans="1:66" outlineLevel="1" x14ac:dyDescent="0.25">
      <c r="A19" s="32">
        <v>15</v>
      </c>
      <c r="B19" s="31" t="s">
        <v>33</v>
      </c>
      <c r="C19" s="311" t="s">
        <v>339</v>
      </c>
      <c r="D19" s="47">
        <v>-0.7</v>
      </c>
      <c r="E19" s="63">
        <v>3.5</v>
      </c>
      <c r="F19" s="47">
        <f t="shared" si="6"/>
        <v>2.8</v>
      </c>
      <c r="G19" s="53"/>
      <c r="H19" s="53"/>
      <c r="I19" s="47">
        <v>-0.54</v>
      </c>
      <c r="J19" s="47">
        <v>0</v>
      </c>
      <c r="K19" s="54">
        <f>SUM(I19:J19)</f>
        <v>-0.54</v>
      </c>
      <c r="L19" s="54"/>
      <c r="M19" s="54"/>
      <c r="N19" s="54" t="e">
        <f>-SUMIF(#REF!,$C19,#REF!)/1000</f>
        <v>#REF!</v>
      </c>
      <c r="O19" s="54" t="e">
        <f>SUMIF(#REF!,$C19,#REF!)/1000</f>
        <v>#REF!</v>
      </c>
      <c r="P19" s="54" t="e">
        <f t="shared" si="7"/>
        <v>#REF!</v>
      </c>
      <c r="Q19" s="54"/>
      <c r="R19" s="175">
        <v>-1</v>
      </c>
      <c r="S19" s="175"/>
      <c r="T19" s="176">
        <f t="shared" si="8"/>
        <v>-1</v>
      </c>
      <c r="U19" s="54"/>
      <c r="V19" s="475">
        <v>-2.9097399999999998</v>
      </c>
      <c r="W19" s="475">
        <v>0.32375999999999994</v>
      </c>
      <c r="X19" s="475">
        <f t="shared" si="9"/>
        <v>-2.5859799999999997</v>
      </c>
      <c r="Y19" s="54"/>
      <c r="Z19" s="54"/>
      <c r="AA19" s="54"/>
      <c r="AB19" s="248">
        <v>-0.89999999999999991</v>
      </c>
      <c r="AC19" s="248">
        <v>0</v>
      </c>
      <c r="AD19" s="248">
        <f t="shared" si="10"/>
        <v>-0.89999999999999991</v>
      </c>
      <c r="AE19" s="53"/>
      <c r="AF19" s="53"/>
      <c r="AG19" s="73"/>
      <c r="AH19" s="62"/>
      <c r="AI19" s="148">
        <v>-0.23280999999999999</v>
      </c>
      <c r="AJ19" s="148">
        <v>0</v>
      </c>
      <c r="AK19" s="148">
        <v>-0.23280999999999999</v>
      </c>
      <c r="AL19" s="20"/>
      <c r="AM19" s="20"/>
      <c r="AN19" s="20"/>
      <c r="AO19" s="20"/>
      <c r="AP19" s="339">
        <v>-1</v>
      </c>
      <c r="AQ19" s="339"/>
      <c r="AR19" s="339">
        <f t="shared" si="12"/>
        <v>-1</v>
      </c>
      <c r="AS19" s="225"/>
      <c r="AT19" s="20"/>
      <c r="AU19" s="20"/>
      <c r="AV19" s="20"/>
      <c r="AW19" s="332">
        <v>-0.86787000000000003</v>
      </c>
      <c r="AX19" s="332">
        <v>3.08311</v>
      </c>
      <c r="AY19" s="332">
        <f t="shared" si="2"/>
        <v>2.2152400000000001</v>
      </c>
      <c r="AZ19" s="20"/>
      <c r="BA19" s="20"/>
      <c r="BB19" s="20"/>
      <c r="BC19" s="20"/>
      <c r="BD19" s="301" t="e">
        <f>-SUMIF(#REF!,fonctionnement!$C19,#REF!)/1000</f>
        <v>#REF!</v>
      </c>
      <c r="BE19" s="221" t="e">
        <f>SUMIF(#REF!,fonctionnement!$C19,#REF!)/1000</f>
        <v>#REF!</v>
      </c>
      <c r="BF19" s="221" t="e">
        <f t="shared" si="13"/>
        <v>#REF!</v>
      </c>
      <c r="BG19" s="221" t="e">
        <f t="shared" si="11"/>
        <v>#REF!</v>
      </c>
      <c r="BK19" s="345">
        <v>-1</v>
      </c>
      <c r="BL19" s="345"/>
      <c r="BM19" s="345">
        <f t="shared" si="14"/>
        <v>-1</v>
      </c>
      <c r="BN19" s="225"/>
    </row>
    <row r="20" spans="1:66" x14ac:dyDescent="0.25">
      <c r="A20" s="32">
        <v>16</v>
      </c>
      <c r="B20" s="78" t="s">
        <v>306</v>
      </c>
      <c r="C20" s="317"/>
      <c r="D20" s="79">
        <f>SUM(D5:D19)</f>
        <v>-63.5</v>
      </c>
      <c r="E20" s="79">
        <f t="shared" ref="E20:X20" si="18">SUM(E5:E19)</f>
        <v>8.9</v>
      </c>
      <c r="F20" s="79">
        <f t="shared" si="18"/>
        <v>-54.6</v>
      </c>
      <c r="G20" s="79">
        <f t="shared" si="18"/>
        <v>0</v>
      </c>
      <c r="H20" s="79">
        <f t="shared" si="18"/>
        <v>0</v>
      </c>
      <c r="I20" s="79">
        <f t="shared" si="18"/>
        <v>-68.189000000000007</v>
      </c>
      <c r="J20" s="79">
        <f t="shared" si="18"/>
        <v>5.3</v>
      </c>
      <c r="K20" s="79">
        <f t="shared" si="18"/>
        <v>-62.888999999999989</v>
      </c>
      <c r="L20" s="79">
        <f t="shared" si="18"/>
        <v>0</v>
      </c>
      <c r="M20" s="79">
        <f t="shared" si="18"/>
        <v>0</v>
      </c>
      <c r="N20" s="79" t="e">
        <f t="shared" si="18"/>
        <v>#REF!</v>
      </c>
      <c r="O20" s="79" t="e">
        <f t="shared" si="18"/>
        <v>#REF!</v>
      </c>
      <c r="P20" s="79" t="e">
        <f t="shared" si="18"/>
        <v>#REF!</v>
      </c>
      <c r="Q20" s="80"/>
      <c r="R20" s="179">
        <f t="shared" si="18"/>
        <v>-63.957999999999998</v>
      </c>
      <c r="S20" s="179">
        <f t="shared" si="18"/>
        <v>0</v>
      </c>
      <c r="T20" s="180">
        <f t="shared" si="18"/>
        <v>-63.957999999999998</v>
      </c>
      <c r="U20" s="80"/>
      <c r="V20" s="477">
        <f t="shared" si="18"/>
        <v>-62.435059999999993</v>
      </c>
      <c r="W20" s="477">
        <f t="shared" si="18"/>
        <v>4.2252999999999998</v>
      </c>
      <c r="X20" s="477">
        <f t="shared" si="18"/>
        <v>-58.209759999999996</v>
      </c>
      <c r="Y20" s="80"/>
      <c r="Z20" s="80">
        <f>SUM(Z5:Z19)</f>
        <v>0</v>
      </c>
      <c r="AA20" s="80"/>
      <c r="AB20" s="249">
        <f t="shared" ref="AB20:AD20" si="19">SUM(AB5:AB19)</f>
        <v>-58.699999999999989</v>
      </c>
      <c r="AC20" s="249">
        <f t="shared" si="19"/>
        <v>0</v>
      </c>
      <c r="AD20" s="249">
        <f t="shared" si="19"/>
        <v>-58.699999999999989</v>
      </c>
      <c r="AE20" s="80"/>
      <c r="AF20" s="80"/>
      <c r="AG20" s="81"/>
      <c r="AH20" s="62"/>
      <c r="AI20" s="149">
        <f>SUM(AI5:AI19)</f>
        <v>-63.27214</v>
      </c>
      <c r="AJ20" s="149">
        <f>SUM(AJ5:AJ19)</f>
        <v>4.6474200000000012</v>
      </c>
      <c r="AK20" s="149">
        <f>AI20+AJ20</f>
        <v>-58.624719999999996</v>
      </c>
      <c r="AL20" s="81"/>
      <c r="AM20" s="81"/>
      <c r="AN20" s="81"/>
      <c r="AO20" s="81"/>
      <c r="AP20" s="340">
        <f t="shared" ref="AP20:AQ20" si="20">SUM(AP5:AP19)</f>
        <v>-68</v>
      </c>
      <c r="AQ20" s="340">
        <f t="shared" si="20"/>
        <v>0</v>
      </c>
      <c r="AR20" s="340">
        <f t="shared" si="12"/>
        <v>-68</v>
      </c>
      <c r="AS20" s="226"/>
      <c r="AT20" s="81"/>
      <c r="AU20" s="81"/>
      <c r="AV20" s="81"/>
      <c r="AW20" s="333">
        <f>SUM(AW5:AW19)</f>
        <v>-84.211069999999992</v>
      </c>
      <c r="AX20" s="333">
        <f>SUM(AX5:AX19)</f>
        <v>10.19655</v>
      </c>
      <c r="AY20" s="333">
        <f>AW20+AX20</f>
        <v>-74.01451999999999</v>
      </c>
      <c r="AZ20" s="81"/>
      <c r="BA20" s="81"/>
      <c r="BB20" s="81"/>
      <c r="BC20" s="81"/>
      <c r="BD20" s="302" t="e">
        <f>SUM(BD5:BD19)</f>
        <v>#REF!</v>
      </c>
      <c r="BE20" s="227" t="e">
        <f t="shared" ref="BE20" si="21">SUM(BE5:BE19)</f>
        <v>#REF!</v>
      </c>
      <c r="BF20" s="227" t="e">
        <f t="shared" si="13"/>
        <v>#REF!</v>
      </c>
      <c r="BG20" s="221" t="e">
        <f t="shared" si="11"/>
        <v>#REF!</v>
      </c>
      <c r="BK20" s="346">
        <f t="shared" ref="BK20:BL20" si="22">SUM(BK5:BK19)</f>
        <v>-78.2</v>
      </c>
      <c r="BL20" s="346">
        <f t="shared" si="22"/>
        <v>0</v>
      </c>
      <c r="BM20" s="346">
        <f t="shared" si="14"/>
        <v>-78.2</v>
      </c>
      <c r="BN20" s="226"/>
    </row>
    <row r="21" spans="1:66" outlineLevel="1" x14ac:dyDescent="0.25">
      <c r="A21" s="32">
        <v>17</v>
      </c>
      <c r="B21" s="31" t="s">
        <v>307</v>
      </c>
      <c r="C21" s="311" t="s">
        <v>341</v>
      </c>
      <c r="D21" s="63">
        <v>-184.7</v>
      </c>
      <c r="E21" s="47">
        <v>11.2</v>
      </c>
      <c r="F21" s="47">
        <f t="shared" ref="F21:F27" si="23">SUM(D21:E21)</f>
        <v>-173.5</v>
      </c>
      <c r="G21" s="53"/>
      <c r="H21" s="53"/>
      <c r="I21" s="47">
        <v>-212.46</v>
      </c>
      <c r="J21" s="47">
        <v>29.8</v>
      </c>
      <c r="K21" s="54">
        <f t="shared" ref="K21:K27" si="24">SUM(I21:J21)</f>
        <v>-182.66</v>
      </c>
      <c r="L21" s="54"/>
      <c r="M21" s="54"/>
      <c r="N21" s="54" t="e">
        <f>-SUMIF(#REF!,$C21,#REF!)/1000</f>
        <v>#REF!</v>
      </c>
      <c r="O21" s="54" t="e">
        <f>SUMIF(#REF!,$C21,#REF!)/1000</f>
        <v>#REF!</v>
      </c>
      <c r="P21" s="54" t="e">
        <f t="shared" ref="P21:P26" si="25">SUM(N21:O21)</f>
        <v>#REF!</v>
      </c>
      <c r="Q21" s="54"/>
      <c r="R21" s="181">
        <v>-195</v>
      </c>
      <c r="S21" s="175">
        <v>12</v>
      </c>
      <c r="T21" s="176">
        <f t="shared" ref="T21:T26" si="26">SUM(R21:S21)</f>
        <v>-183</v>
      </c>
      <c r="U21" s="54"/>
      <c r="V21" s="475">
        <v>-241.59966</v>
      </c>
      <c r="W21" s="475">
        <v>29.722620000000003</v>
      </c>
      <c r="X21" s="475">
        <f t="shared" ref="X21:X26" si="27">SUM(V21:W21)</f>
        <v>-211.87703999999999</v>
      </c>
      <c r="Y21" s="54"/>
      <c r="Z21" s="54"/>
      <c r="AA21" s="54"/>
      <c r="AB21" s="248">
        <f>-(195+5)</f>
        <v>-200</v>
      </c>
      <c r="AC21" s="248">
        <v>0</v>
      </c>
      <c r="AD21" s="248">
        <f t="shared" ref="AD21:AD26" si="28">SUM(AB21:AC21)</f>
        <v>-200</v>
      </c>
      <c r="AE21" s="53"/>
      <c r="AF21" s="53"/>
      <c r="AG21" s="73" t="s">
        <v>408</v>
      </c>
      <c r="AH21" s="62"/>
      <c r="AI21" s="148">
        <v>-251.29823999999999</v>
      </c>
      <c r="AJ21" s="148">
        <v>44.376870000000004</v>
      </c>
      <c r="AK21" s="148">
        <v>-206.92137</v>
      </c>
      <c r="AL21" s="20"/>
      <c r="AM21" s="20"/>
      <c r="AN21" s="20"/>
      <c r="AO21" s="20"/>
      <c r="AP21" s="339">
        <f>-204.143-4</f>
        <v>-208.143</v>
      </c>
      <c r="AQ21" s="339"/>
      <c r="AR21" s="339">
        <f t="shared" si="12"/>
        <v>-208.143</v>
      </c>
      <c r="AS21" s="225"/>
      <c r="AT21" s="20"/>
      <c r="AU21" s="281" t="s">
        <v>542</v>
      </c>
      <c r="AV21" s="281"/>
      <c r="AW21" s="332">
        <v>-236.77001000000001</v>
      </c>
      <c r="AX21" s="332">
        <v>11.875829999999999</v>
      </c>
      <c r="AY21" s="332">
        <f t="shared" si="2"/>
        <v>-224.89418000000001</v>
      </c>
      <c r="AZ21" s="281"/>
      <c r="BA21" s="281"/>
      <c r="BB21" s="281"/>
      <c r="BC21" s="281"/>
      <c r="BD21" s="301" t="e">
        <f>-SUMIF(#REF!,fonctionnement!$C21,#REF!)/1000</f>
        <v>#REF!</v>
      </c>
      <c r="BE21" s="221" t="e">
        <f>SUMIF(#REF!,fonctionnement!$C21,#REF!)/1000</f>
        <v>#REF!</v>
      </c>
      <c r="BF21" s="221" t="e">
        <f t="shared" si="13"/>
        <v>#REF!</v>
      </c>
      <c r="BG21" s="221" t="e">
        <f t="shared" si="11"/>
        <v>#REF!</v>
      </c>
      <c r="BK21" s="345">
        <f>-240-15</f>
        <v>-255</v>
      </c>
      <c r="BL21" s="483"/>
      <c r="BM21" s="345">
        <f t="shared" si="14"/>
        <v>-255</v>
      </c>
      <c r="BN21" s="225"/>
    </row>
    <row r="22" spans="1:66" outlineLevel="1" x14ac:dyDescent="0.25">
      <c r="A22" s="32">
        <v>18</v>
      </c>
      <c r="B22" s="31" t="s">
        <v>308</v>
      </c>
      <c r="C22" s="311" t="s">
        <v>342</v>
      </c>
      <c r="D22" s="47">
        <v>-16</v>
      </c>
      <c r="E22" s="47">
        <v>16</v>
      </c>
      <c r="F22" s="47">
        <f t="shared" si="23"/>
        <v>0</v>
      </c>
      <c r="G22" s="53"/>
      <c r="H22" s="53"/>
      <c r="I22" s="47">
        <v>0</v>
      </c>
      <c r="J22" s="47">
        <v>0</v>
      </c>
      <c r="K22" s="54">
        <f t="shared" si="24"/>
        <v>0</v>
      </c>
      <c r="L22" s="54"/>
      <c r="M22" s="54"/>
      <c r="N22" s="54" t="e">
        <f>-SUMIF(#REF!,$C22,#REF!)/1000</f>
        <v>#REF!</v>
      </c>
      <c r="O22" s="54" t="e">
        <f>SUMIF(#REF!,$C22,#REF!)/1000</f>
        <v>#REF!</v>
      </c>
      <c r="P22" s="54" t="e">
        <f t="shared" si="25"/>
        <v>#REF!</v>
      </c>
      <c r="Q22" s="54"/>
      <c r="R22" s="175">
        <v>-16.2</v>
      </c>
      <c r="S22" s="175">
        <v>16.2</v>
      </c>
      <c r="T22" s="176">
        <f t="shared" si="26"/>
        <v>0</v>
      </c>
      <c r="U22" s="54"/>
      <c r="V22" s="475">
        <v>0</v>
      </c>
      <c r="W22" s="475">
        <v>0</v>
      </c>
      <c r="X22" s="475">
        <f t="shared" si="27"/>
        <v>0</v>
      </c>
      <c r="Y22" s="54"/>
      <c r="Z22" s="54"/>
      <c r="AA22" s="54"/>
      <c r="AB22" s="248">
        <v>0</v>
      </c>
      <c r="AC22" s="248">
        <v>0</v>
      </c>
      <c r="AD22" s="248">
        <f t="shared" si="28"/>
        <v>0</v>
      </c>
      <c r="AE22" s="53"/>
      <c r="AF22" s="53"/>
      <c r="AG22" s="73"/>
      <c r="AH22" s="62"/>
      <c r="AI22" s="148">
        <v>0</v>
      </c>
      <c r="AJ22" s="148">
        <v>0</v>
      </c>
      <c r="AK22" s="148">
        <v>0</v>
      </c>
      <c r="AL22" s="20"/>
      <c r="AM22" s="20"/>
      <c r="AN22" s="20"/>
      <c r="AO22" s="20"/>
      <c r="AP22" s="339">
        <v>-10.1</v>
      </c>
      <c r="AQ22" s="339"/>
      <c r="AR22" s="339">
        <f t="shared" si="12"/>
        <v>-10.1</v>
      </c>
      <c r="AS22" s="225"/>
      <c r="AT22" s="20"/>
      <c r="AU22" s="20" t="s">
        <v>541</v>
      </c>
      <c r="AV22" s="20"/>
      <c r="AW22" s="332">
        <v>-16.645</v>
      </c>
      <c r="AX22" s="332">
        <v>24.945</v>
      </c>
      <c r="AY22" s="332">
        <f t="shared" si="2"/>
        <v>8.3000000000000007</v>
      </c>
      <c r="AZ22" s="20"/>
      <c r="BA22" s="20"/>
      <c r="BB22" s="20"/>
      <c r="BC22" s="20"/>
      <c r="BD22" s="301" t="e">
        <f>-SUMIF(#REF!,fonctionnement!$C22,#REF!)/1000</f>
        <v>#REF!</v>
      </c>
      <c r="BE22" s="221" t="e">
        <f>SUMIF(#REF!,fonctionnement!$C22,#REF!)/1000</f>
        <v>#REF!</v>
      </c>
      <c r="BF22" s="221" t="e">
        <f t="shared" si="13"/>
        <v>#REF!</v>
      </c>
      <c r="BG22" s="221" t="e">
        <f t="shared" si="11"/>
        <v>#REF!</v>
      </c>
      <c r="BK22" s="345"/>
      <c r="BL22" s="345">
        <v>25</v>
      </c>
      <c r="BM22" s="345">
        <f t="shared" si="14"/>
        <v>25</v>
      </c>
      <c r="BN22" s="225"/>
    </row>
    <row r="23" spans="1:66" outlineLevel="1" x14ac:dyDescent="0.25">
      <c r="A23" s="32">
        <v>19</v>
      </c>
      <c r="B23" s="31" t="s">
        <v>309</v>
      </c>
      <c r="C23" s="311" t="s">
        <v>343</v>
      </c>
      <c r="D23" s="47">
        <v>-3</v>
      </c>
      <c r="E23" s="47">
        <v>0</v>
      </c>
      <c r="F23" s="47">
        <f t="shared" si="23"/>
        <v>-3</v>
      </c>
      <c r="G23" s="53"/>
      <c r="H23" s="53"/>
      <c r="I23" s="47">
        <v>-5.5</v>
      </c>
      <c r="J23" s="47">
        <v>2</v>
      </c>
      <c r="K23" s="54">
        <f t="shared" si="24"/>
        <v>-3.5</v>
      </c>
      <c r="L23" s="54"/>
      <c r="M23" s="54"/>
      <c r="N23" s="54" t="e">
        <f>-SUMIF(#REF!,$C23,#REF!)/1000</f>
        <v>#REF!</v>
      </c>
      <c r="O23" s="54" t="e">
        <f>SUMIF(#REF!,$C23,#REF!)/1000</f>
        <v>#REF!</v>
      </c>
      <c r="P23" s="54" t="e">
        <f t="shared" si="25"/>
        <v>#REF!</v>
      </c>
      <c r="Q23" s="54"/>
      <c r="R23" s="175">
        <v>-3</v>
      </c>
      <c r="S23" s="175"/>
      <c r="T23" s="176">
        <f t="shared" si="26"/>
        <v>-3</v>
      </c>
      <c r="U23" s="54"/>
      <c r="V23" s="475">
        <v>0</v>
      </c>
      <c r="W23" s="475">
        <v>0</v>
      </c>
      <c r="X23" s="475">
        <f t="shared" si="27"/>
        <v>0</v>
      </c>
      <c r="Y23" s="54"/>
      <c r="Z23" s="54"/>
      <c r="AA23" s="54"/>
      <c r="AB23" s="248">
        <v>-2</v>
      </c>
      <c r="AC23" s="248">
        <v>0</v>
      </c>
      <c r="AD23" s="248">
        <f t="shared" si="28"/>
        <v>-2</v>
      </c>
      <c r="AE23" s="53"/>
      <c r="AF23" s="53"/>
      <c r="AG23" s="130"/>
      <c r="AH23" s="62"/>
      <c r="AI23" s="148">
        <v>-1.5307999999999999</v>
      </c>
      <c r="AJ23" s="148">
        <v>0</v>
      </c>
      <c r="AK23" s="148">
        <v>-1.5307999999999999</v>
      </c>
      <c r="AL23" s="20"/>
      <c r="AM23" s="20"/>
      <c r="AN23" s="20"/>
      <c r="AO23" s="20"/>
      <c r="AP23" s="339">
        <v>-2</v>
      </c>
      <c r="AQ23" s="339"/>
      <c r="AR23" s="339">
        <f t="shared" si="12"/>
        <v>-2</v>
      </c>
      <c r="AS23" s="225"/>
      <c r="AT23" s="20"/>
      <c r="AU23" s="20"/>
      <c r="AV23" s="20"/>
      <c r="AW23" s="332">
        <v>0</v>
      </c>
      <c r="AX23" s="332">
        <v>0</v>
      </c>
      <c r="AY23" s="332">
        <f t="shared" si="2"/>
        <v>0</v>
      </c>
      <c r="AZ23" s="20"/>
      <c r="BA23" s="20"/>
      <c r="BB23" s="20"/>
      <c r="BC23" s="20"/>
      <c r="BD23" s="301" t="e">
        <f>-SUMIF(#REF!,fonctionnement!$C23,#REF!)/1000</f>
        <v>#REF!</v>
      </c>
      <c r="BE23" s="221" t="e">
        <f>SUMIF(#REF!,fonctionnement!$C23,#REF!)/1000</f>
        <v>#REF!</v>
      </c>
      <c r="BF23" s="221" t="e">
        <f t="shared" si="13"/>
        <v>#REF!</v>
      </c>
      <c r="BG23" s="221" t="e">
        <f t="shared" si="11"/>
        <v>#REF!</v>
      </c>
      <c r="BK23" s="345">
        <v>-2</v>
      </c>
      <c r="BL23" s="345"/>
      <c r="BM23" s="345">
        <f t="shared" si="14"/>
        <v>-2</v>
      </c>
      <c r="BN23" s="225"/>
    </row>
    <row r="24" spans="1:66" outlineLevel="1" x14ac:dyDescent="0.25">
      <c r="A24" s="32">
        <v>20</v>
      </c>
      <c r="B24" s="31" t="s">
        <v>310</v>
      </c>
      <c r="C24" s="311" t="s">
        <v>340</v>
      </c>
      <c r="D24" s="47">
        <v>0</v>
      </c>
      <c r="E24" s="47">
        <v>0</v>
      </c>
      <c r="F24" s="47">
        <f t="shared" si="23"/>
        <v>0</v>
      </c>
      <c r="G24" s="53"/>
      <c r="H24" s="53"/>
      <c r="I24" s="47">
        <v>-0.2</v>
      </c>
      <c r="J24" s="47">
        <v>0</v>
      </c>
      <c r="K24" s="54">
        <f t="shared" si="24"/>
        <v>-0.2</v>
      </c>
      <c r="L24" s="54"/>
      <c r="M24" s="54"/>
      <c r="N24" s="54" t="e">
        <f>-SUMIF(#REF!,$C24,#REF!)/1000</f>
        <v>#REF!</v>
      </c>
      <c r="O24" s="54" t="e">
        <f>SUMIF(#REF!,$C24,#REF!)/1000</f>
        <v>#REF!</v>
      </c>
      <c r="P24" s="54" t="e">
        <f t="shared" si="25"/>
        <v>#REF!</v>
      </c>
      <c r="Q24" s="54"/>
      <c r="R24" s="175">
        <v>-1.5</v>
      </c>
      <c r="S24" s="175">
        <v>0</v>
      </c>
      <c r="T24" s="176">
        <f t="shared" si="26"/>
        <v>-1.5</v>
      </c>
      <c r="U24" s="54"/>
      <c r="V24" s="475">
        <v>0</v>
      </c>
      <c r="W24" s="475">
        <v>0</v>
      </c>
      <c r="X24" s="475">
        <f t="shared" si="27"/>
        <v>0</v>
      </c>
      <c r="Y24" s="54"/>
      <c r="Z24" s="54"/>
      <c r="AA24" s="54"/>
      <c r="AB24" s="248">
        <v>0</v>
      </c>
      <c r="AC24" s="248">
        <v>0</v>
      </c>
      <c r="AD24" s="248">
        <f t="shared" si="28"/>
        <v>0</v>
      </c>
      <c r="AE24" s="53"/>
      <c r="AF24" s="53"/>
      <c r="AG24" s="130"/>
      <c r="AH24" s="62"/>
      <c r="AI24" s="148">
        <v>-0.1714</v>
      </c>
      <c r="AJ24" s="148">
        <v>0</v>
      </c>
      <c r="AK24" s="148">
        <v>-0.1714</v>
      </c>
      <c r="AL24" s="20"/>
      <c r="AM24" s="20"/>
      <c r="AN24" s="20"/>
      <c r="AO24" s="20"/>
      <c r="AP24" s="339">
        <v>-1</v>
      </c>
      <c r="AQ24" s="339"/>
      <c r="AR24" s="339">
        <f t="shared" si="12"/>
        <v>-1</v>
      </c>
      <c r="AS24" s="225"/>
      <c r="AT24" s="20"/>
      <c r="AU24" s="20"/>
      <c r="AV24" s="20"/>
      <c r="AW24" s="332">
        <v>-0.75095000000000001</v>
      </c>
      <c r="AX24" s="332">
        <v>0</v>
      </c>
      <c r="AY24" s="332">
        <f t="shared" si="2"/>
        <v>-0.75095000000000001</v>
      </c>
      <c r="AZ24" s="20"/>
      <c r="BA24" s="20"/>
      <c r="BB24" s="20"/>
      <c r="BC24" s="20"/>
      <c r="BD24" s="301" t="e">
        <f>-SUMIF(#REF!,fonctionnement!$C24,#REF!)/1000</f>
        <v>#REF!</v>
      </c>
      <c r="BE24" s="221" t="e">
        <f>SUMIF(#REF!,fonctionnement!$C24,#REF!)/1000</f>
        <v>#REF!</v>
      </c>
      <c r="BF24" s="221" t="e">
        <f t="shared" si="13"/>
        <v>#REF!</v>
      </c>
      <c r="BG24" s="221" t="e">
        <f t="shared" si="11"/>
        <v>#REF!</v>
      </c>
      <c r="BK24" s="345">
        <v>-1</v>
      </c>
      <c r="BL24" s="345"/>
      <c r="BM24" s="345">
        <f t="shared" si="14"/>
        <v>-1</v>
      </c>
      <c r="BN24" s="225"/>
    </row>
    <row r="25" spans="1:66" outlineLevel="1" x14ac:dyDescent="0.25">
      <c r="A25" s="32">
        <v>21</v>
      </c>
      <c r="B25" s="31" t="s">
        <v>311</v>
      </c>
      <c r="C25" s="311" t="s">
        <v>607</v>
      </c>
      <c r="D25" s="47">
        <v>0</v>
      </c>
      <c r="E25" s="47">
        <v>0</v>
      </c>
      <c r="F25" s="47">
        <f>SUM(D25:E25)</f>
        <v>0</v>
      </c>
      <c r="G25" s="53"/>
      <c r="H25" s="53"/>
      <c r="I25" s="47">
        <v>0</v>
      </c>
      <c r="J25" s="47">
        <v>0</v>
      </c>
      <c r="K25" s="54">
        <f>SUM(I25:J25)</f>
        <v>0</v>
      </c>
      <c r="L25" s="54"/>
      <c r="M25" s="54"/>
      <c r="N25" s="54" t="e">
        <f>-SUMIF(#REF!,$C25,#REF!)/1000</f>
        <v>#REF!</v>
      </c>
      <c r="O25" s="54" t="e">
        <f>SUMIF(#REF!,$C25,#REF!)/1000</f>
        <v>#REF!</v>
      </c>
      <c r="P25" s="54" t="e">
        <f t="shared" si="25"/>
        <v>#REF!</v>
      </c>
      <c r="Q25" s="54"/>
      <c r="R25" s="175">
        <v>0</v>
      </c>
      <c r="S25" s="175">
        <v>0</v>
      </c>
      <c r="T25" s="176">
        <f t="shared" si="26"/>
        <v>0</v>
      </c>
      <c r="U25" s="54"/>
      <c r="V25" s="475">
        <v>0</v>
      </c>
      <c r="W25" s="475">
        <v>0</v>
      </c>
      <c r="X25" s="475">
        <f t="shared" si="27"/>
        <v>0</v>
      </c>
      <c r="Y25" s="54"/>
      <c r="Z25" s="54"/>
      <c r="AA25" s="54"/>
      <c r="AB25" s="248">
        <v>0</v>
      </c>
      <c r="AC25" s="248">
        <v>0</v>
      </c>
      <c r="AD25" s="248">
        <f t="shared" si="28"/>
        <v>0</v>
      </c>
      <c r="AE25" s="53"/>
      <c r="AF25" s="53"/>
      <c r="AG25" s="73"/>
      <c r="AH25" s="62"/>
      <c r="AI25" s="148">
        <v>0</v>
      </c>
      <c r="AJ25" s="148">
        <v>0</v>
      </c>
      <c r="AK25" s="148">
        <v>0</v>
      </c>
      <c r="AL25" s="20"/>
      <c r="AM25" s="20"/>
      <c r="AN25" s="20"/>
      <c r="AO25" s="20"/>
      <c r="AP25" s="339"/>
      <c r="AQ25" s="339"/>
      <c r="AR25" s="339">
        <f t="shared" si="12"/>
        <v>0</v>
      </c>
      <c r="AS25" s="225"/>
      <c r="AT25" s="20"/>
      <c r="AU25" s="20"/>
      <c r="AV25" s="20"/>
      <c r="AW25" s="332">
        <v>0</v>
      </c>
      <c r="AX25" s="332">
        <v>0</v>
      </c>
      <c r="AY25" s="332">
        <f t="shared" si="2"/>
        <v>0</v>
      </c>
      <c r="AZ25" s="20"/>
      <c r="BA25" s="20"/>
      <c r="BB25" s="20"/>
      <c r="BC25" s="20"/>
      <c r="BD25" s="301" t="e">
        <f>-SUMIF(#REF!,fonctionnement!$C25,#REF!)/1000</f>
        <v>#REF!</v>
      </c>
      <c r="BE25" s="221" t="e">
        <f>SUMIF(#REF!,fonctionnement!$C25,#REF!)/1000</f>
        <v>#REF!</v>
      </c>
      <c r="BF25" s="221" t="e">
        <f t="shared" si="13"/>
        <v>#REF!</v>
      </c>
      <c r="BG25" s="221" t="e">
        <f t="shared" si="11"/>
        <v>#REF!</v>
      </c>
      <c r="BK25" s="345"/>
      <c r="BL25" s="345"/>
      <c r="BM25" s="345">
        <f t="shared" si="14"/>
        <v>0</v>
      </c>
      <c r="BN25" s="225"/>
    </row>
    <row r="26" spans="1:66" outlineLevel="1" x14ac:dyDescent="0.25">
      <c r="A26" s="32">
        <v>22</v>
      </c>
      <c r="B26" s="31" t="s">
        <v>312</v>
      </c>
      <c r="C26" s="311" t="s">
        <v>344</v>
      </c>
      <c r="D26" s="47">
        <v>0</v>
      </c>
      <c r="E26" s="47">
        <v>0</v>
      </c>
      <c r="F26" s="47">
        <f>SUM(D26:E26)</f>
        <v>0</v>
      </c>
      <c r="G26" s="53"/>
      <c r="H26" s="53"/>
      <c r="I26" s="47"/>
      <c r="J26" s="47"/>
      <c r="K26" s="54"/>
      <c r="L26" s="54"/>
      <c r="M26" s="54"/>
      <c r="N26" s="54" t="e">
        <f>-SUMIF(#REF!,$C26,#REF!)/1000</f>
        <v>#REF!</v>
      </c>
      <c r="O26" s="54" t="e">
        <f>SUMIF(#REF!,$C26,#REF!)/1000</f>
        <v>#REF!</v>
      </c>
      <c r="P26" s="54" t="e">
        <f t="shared" si="25"/>
        <v>#REF!</v>
      </c>
      <c r="Q26" s="54"/>
      <c r="R26" s="175"/>
      <c r="S26" s="175">
        <v>0</v>
      </c>
      <c r="T26" s="176">
        <f t="shared" si="26"/>
        <v>0</v>
      </c>
      <c r="U26" s="54"/>
      <c r="V26" s="475">
        <v>-2.1344799999999999</v>
      </c>
      <c r="W26" s="475">
        <v>2.1299899999999998</v>
      </c>
      <c r="X26" s="475">
        <f t="shared" si="27"/>
        <v>-4.490000000000105E-3</v>
      </c>
      <c r="Y26" s="54"/>
      <c r="Z26" s="54"/>
      <c r="AA26" s="54"/>
      <c r="AB26" s="248">
        <v>0</v>
      </c>
      <c r="AC26" s="248">
        <v>0</v>
      </c>
      <c r="AD26" s="248">
        <f t="shared" si="28"/>
        <v>0</v>
      </c>
      <c r="AE26" s="53"/>
      <c r="AF26" s="53"/>
      <c r="AG26" s="73"/>
      <c r="AH26" s="62"/>
      <c r="AI26" s="148">
        <v>-2.9198400000000002</v>
      </c>
      <c r="AJ26" s="148">
        <v>3.1966700000000001</v>
      </c>
      <c r="AK26" s="148">
        <v>0.27682999999999991</v>
      </c>
      <c r="AL26" s="20"/>
      <c r="AM26" s="20"/>
      <c r="AN26" s="20"/>
      <c r="AO26" s="20"/>
      <c r="AP26" s="339"/>
      <c r="AQ26" s="339"/>
      <c r="AR26" s="339">
        <f t="shared" si="12"/>
        <v>0</v>
      </c>
      <c r="AS26" s="225"/>
      <c r="AT26" s="20"/>
      <c r="AU26" s="20"/>
      <c r="AV26" s="20"/>
      <c r="AW26" s="332">
        <v>-2.2003000000000004</v>
      </c>
      <c r="AX26" s="332">
        <v>1.18</v>
      </c>
      <c r="AY26" s="332">
        <f t="shared" si="2"/>
        <v>-1.0203000000000004</v>
      </c>
      <c r="AZ26" s="20"/>
      <c r="BA26" s="20"/>
      <c r="BB26" s="20"/>
      <c r="BC26" s="20"/>
      <c r="BD26" s="301" t="e">
        <f>-SUMIF(#REF!,fonctionnement!$C26,#REF!)/1000</f>
        <v>#REF!</v>
      </c>
      <c r="BE26" s="221" t="e">
        <f>SUMIF(#REF!,fonctionnement!$C26,#REF!)/1000</f>
        <v>#REF!</v>
      </c>
      <c r="BF26" s="221" t="e">
        <f t="shared" si="13"/>
        <v>#REF!</v>
      </c>
      <c r="BG26" s="221" t="e">
        <f t="shared" si="11"/>
        <v>#REF!</v>
      </c>
      <c r="BK26" s="345">
        <v>-1.8</v>
      </c>
      <c r="BL26" s="345">
        <v>1.2</v>
      </c>
      <c r="BM26" s="345">
        <f t="shared" si="14"/>
        <v>-0.60000000000000009</v>
      </c>
      <c r="BN26" s="225"/>
    </row>
    <row r="27" spans="1:66" x14ac:dyDescent="0.25">
      <c r="A27" s="32">
        <v>23</v>
      </c>
      <c r="B27" s="78" t="s">
        <v>307</v>
      </c>
      <c r="C27" s="317"/>
      <c r="D27" s="79">
        <f>SUM(D21:D26)</f>
        <v>-203.7</v>
      </c>
      <c r="E27" s="79">
        <f>SUM(E21:E26)</f>
        <v>27.2</v>
      </c>
      <c r="F27" s="79">
        <f t="shared" si="23"/>
        <v>-176.5</v>
      </c>
      <c r="G27" s="53"/>
      <c r="H27" s="53"/>
      <c r="I27" s="79">
        <f>SUM(I21:I26)</f>
        <v>-218.16</v>
      </c>
      <c r="J27" s="79">
        <f>SUM(J21:J26)</f>
        <v>31.8</v>
      </c>
      <c r="K27" s="80">
        <f t="shared" si="24"/>
        <v>-186.35999999999999</v>
      </c>
      <c r="L27" s="54"/>
      <c r="M27" s="54"/>
      <c r="N27" s="80" t="e">
        <f>SUM(N21:N26)</f>
        <v>#REF!</v>
      </c>
      <c r="O27" s="80" t="e">
        <f>SUM(O21:O26)</f>
        <v>#REF!</v>
      </c>
      <c r="P27" s="80" t="e">
        <f>SUM(P21:P26)</f>
        <v>#REF!</v>
      </c>
      <c r="Q27" s="54"/>
      <c r="R27" s="179">
        <f>SUM(R21:R26)</f>
        <v>-215.7</v>
      </c>
      <c r="S27" s="179">
        <f>SUM(S21:S26)</f>
        <v>28.2</v>
      </c>
      <c r="T27" s="180">
        <f>SUM(T21:T26)</f>
        <v>-187.5</v>
      </c>
      <c r="U27" s="54"/>
      <c r="V27" s="477">
        <f>SUM(V21:V26)</f>
        <v>-243.73414</v>
      </c>
      <c r="W27" s="477">
        <f>SUM(W21:W26)</f>
        <v>31.852610000000002</v>
      </c>
      <c r="X27" s="477">
        <f>SUM(X21:X26)</f>
        <v>-211.88153</v>
      </c>
      <c r="Y27" s="54"/>
      <c r="Z27" s="54">
        <f>SUM(Z21:Z26)</f>
        <v>0</v>
      </c>
      <c r="AA27" s="54"/>
      <c r="AB27" s="249">
        <f>SUM(AB21:AB26)</f>
        <v>-202</v>
      </c>
      <c r="AC27" s="249">
        <f>SUM(AC21:AC26)</f>
        <v>0</v>
      </c>
      <c r="AD27" s="249">
        <f>SUM(AD21:AD26)</f>
        <v>-202</v>
      </c>
      <c r="AE27" s="53"/>
      <c r="AF27" s="54"/>
      <c r="AG27" s="81"/>
      <c r="AH27" s="62"/>
      <c r="AI27" s="149">
        <f>SUM(AI21:AI26)</f>
        <v>-255.92027999999999</v>
      </c>
      <c r="AJ27" s="149">
        <f>SUM(AJ21:AJ26)</f>
        <v>47.573540000000001</v>
      </c>
      <c r="AK27" s="149">
        <f>AJ27+AI27</f>
        <v>-208.34673999999998</v>
      </c>
      <c r="AL27" s="81"/>
      <c r="AM27" s="81"/>
      <c r="AN27" s="81"/>
      <c r="AO27" s="81"/>
      <c r="AP27" s="340">
        <f>SUM(AP21:AP26)</f>
        <v>-221.24299999999999</v>
      </c>
      <c r="AQ27" s="340">
        <f>SUM(AQ21:AQ26)</f>
        <v>0</v>
      </c>
      <c r="AR27" s="340">
        <f t="shared" si="12"/>
        <v>-221.24299999999999</v>
      </c>
      <c r="AS27" s="226"/>
      <c r="AT27" s="81"/>
      <c r="AU27" s="81"/>
      <c r="AV27" s="81"/>
      <c r="AW27" s="333">
        <f>SUM(AW21:AW26)</f>
        <v>-256.36626000000001</v>
      </c>
      <c r="AX27" s="333">
        <f>SUM(AX21:AX26)</f>
        <v>38.000830000000001</v>
      </c>
      <c r="AY27" s="333">
        <f>AX27+AW27</f>
        <v>-218.36543</v>
      </c>
      <c r="AZ27" s="81"/>
      <c r="BA27" s="81"/>
      <c r="BB27" s="81"/>
      <c r="BC27" s="81"/>
      <c r="BD27" s="302" t="e">
        <f>SUM(BD21:BD26)</f>
        <v>#REF!</v>
      </c>
      <c r="BE27" s="227" t="e">
        <f>SUM(BE21:BE26)</f>
        <v>#REF!</v>
      </c>
      <c r="BF27" s="227" t="e">
        <f t="shared" si="13"/>
        <v>#REF!</v>
      </c>
      <c r="BG27" s="221" t="e">
        <f t="shared" si="11"/>
        <v>#REF!</v>
      </c>
      <c r="BK27" s="346">
        <f>SUM(BK21:BK26)</f>
        <v>-259.8</v>
      </c>
      <c r="BL27" s="346">
        <f>SUM(BL21:BL26)</f>
        <v>26.2</v>
      </c>
      <c r="BM27" s="346">
        <f t="shared" si="14"/>
        <v>-233.60000000000002</v>
      </c>
      <c r="BN27" s="226"/>
    </row>
    <row r="28" spans="1:66" x14ac:dyDescent="0.25">
      <c r="A28" s="32">
        <v>24</v>
      </c>
      <c r="B28" s="31" t="s">
        <v>596</v>
      </c>
      <c r="C28" s="311" t="s">
        <v>593</v>
      </c>
      <c r="D28" s="79"/>
      <c r="E28" s="79"/>
      <c r="F28" s="79"/>
      <c r="G28" s="53"/>
      <c r="H28" s="53"/>
      <c r="I28" s="79"/>
      <c r="J28" s="79"/>
      <c r="K28" s="80"/>
      <c r="L28" s="54"/>
      <c r="M28" s="54"/>
      <c r="N28" s="80"/>
      <c r="O28" s="80"/>
      <c r="P28" s="80"/>
      <c r="Q28" s="54"/>
      <c r="R28" s="179"/>
      <c r="S28" s="179"/>
      <c r="T28" s="180"/>
      <c r="U28" s="54"/>
      <c r="V28" s="477"/>
      <c r="W28" s="477"/>
      <c r="X28" s="477"/>
      <c r="Y28" s="54"/>
      <c r="Z28" s="54"/>
      <c r="AA28" s="54"/>
      <c r="AB28" s="249"/>
      <c r="AC28" s="249"/>
      <c r="AD28" s="249"/>
      <c r="AE28" s="53"/>
      <c r="AF28" s="54"/>
      <c r="AG28" s="81"/>
      <c r="AH28" s="62"/>
      <c r="AI28" s="149"/>
      <c r="AJ28" s="149"/>
      <c r="AK28" s="149"/>
      <c r="AL28" s="81"/>
      <c r="AM28" s="81"/>
      <c r="AN28" s="81"/>
      <c r="AO28" s="81"/>
      <c r="AP28" s="339">
        <v>0</v>
      </c>
      <c r="AQ28" s="339">
        <v>0</v>
      </c>
      <c r="AR28" s="339">
        <f t="shared" ref="AR28" si="29">SUM(AP28:AQ28)</f>
        <v>0</v>
      </c>
      <c r="AS28" s="226"/>
      <c r="AT28" s="81"/>
      <c r="AU28" s="81"/>
      <c r="AV28" s="81"/>
      <c r="AW28" s="332">
        <v>-0.76800000000000002</v>
      </c>
      <c r="AX28" s="333">
        <v>0</v>
      </c>
      <c r="AY28" s="333">
        <f t="shared" si="2"/>
        <v>-0.76800000000000002</v>
      </c>
      <c r="AZ28" s="81"/>
      <c r="BA28" s="81"/>
      <c r="BB28" s="81"/>
      <c r="BC28" s="81"/>
      <c r="BD28" s="301" t="e">
        <f>-SUMIF(#REF!,fonctionnement!$C28,#REF!)/1000</f>
        <v>#REF!</v>
      </c>
      <c r="BE28" s="221" t="e">
        <f>SUMIF(#REF!,fonctionnement!$C28,#REF!)/1000</f>
        <v>#REF!</v>
      </c>
      <c r="BF28" s="221" t="e">
        <f t="shared" ref="BF28" si="30">BE28+BD28</f>
        <v>#REF!</v>
      </c>
      <c r="BG28" s="221" t="e">
        <f t="shared" ref="BG28" si="31">AR28-BF28</f>
        <v>#REF!</v>
      </c>
      <c r="BK28" s="345">
        <v>-2</v>
      </c>
      <c r="BL28" s="345"/>
      <c r="BM28" s="345">
        <f t="shared" ref="BM28" si="32">SUM(BK28:BL28)</f>
        <v>-2</v>
      </c>
      <c r="BN28" s="226"/>
    </row>
    <row r="29" spans="1:66" outlineLevel="1" x14ac:dyDescent="0.25">
      <c r="A29" s="32">
        <v>25</v>
      </c>
      <c r="B29" s="31" t="s">
        <v>313</v>
      </c>
      <c r="C29" s="311" t="s">
        <v>345</v>
      </c>
      <c r="D29" s="47">
        <v>-8</v>
      </c>
      <c r="E29" s="47">
        <v>0</v>
      </c>
      <c r="F29" s="47">
        <f>SUM(D29:E29)</f>
        <v>-8</v>
      </c>
      <c r="G29" s="53"/>
      <c r="H29" s="53"/>
      <c r="I29" s="47">
        <v>-16.940000000000001</v>
      </c>
      <c r="J29" s="47">
        <v>7.8</v>
      </c>
      <c r="K29" s="54">
        <f>SUM(I29:J29)</f>
        <v>-9.14</v>
      </c>
      <c r="L29" s="54"/>
      <c r="M29" s="54"/>
      <c r="N29" s="54" t="e">
        <f>-SUMIF(#REF!,$C29,#REF!)/1000</f>
        <v>#REF!</v>
      </c>
      <c r="O29" s="54" t="e">
        <f>SUMIF(#REF!,$C29,#REF!)/1000</f>
        <v>#REF!</v>
      </c>
      <c r="P29" s="54" t="e">
        <f>SUM(N29:O29)</f>
        <v>#REF!</v>
      </c>
      <c r="Q29" s="54"/>
      <c r="R29" s="175">
        <v>-9</v>
      </c>
      <c r="S29" s="175">
        <v>0</v>
      </c>
      <c r="T29" s="176">
        <f>SUM(R29:S29)</f>
        <v>-9</v>
      </c>
      <c r="U29" s="54"/>
      <c r="V29" s="475">
        <v>-16.579599999999999</v>
      </c>
      <c r="W29" s="475">
        <v>8.6999999999999993</v>
      </c>
      <c r="X29" s="475">
        <f>SUM(V29:W29)</f>
        <v>-7.8795999999999999</v>
      </c>
      <c r="Y29" s="54"/>
      <c r="Z29" s="54"/>
      <c r="AA29" s="54"/>
      <c r="AB29" s="248">
        <v>-9.1</v>
      </c>
      <c r="AC29" s="248">
        <v>0</v>
      </c>
      <c r="AD29" s="248">
        <f>SUM(AB29:AC29)</f>
        <v>-9.1</v>
      </c>
      <c r="AE29" s="53"/>
      <c r="AF29" s="53"/>
      <c r="AG29" s="73"/>
      <c r="AH29" s="62"/>
      <c r="AI29" s="148">
        <v>-16.459599999999998</v>
      </c>
      <c r="AJ29" s="148">
        <v>8.5</v>
      </c>
      <c r="AK29" s="148">
        <v>-7.9595999999999982</v>
      </c>
      <c r="AL29" s="20"/>
      <c r="AM29" s="20"/>
      <c r="AN29" s="20"/>
      <c r="AO29" s="20"/>
      <c r="AP29" s="339">
        <v>-8.5</v>
      </c>
      <c r="AQ29" s="339"/>
      <c r="AR29" s="339">
        <f t="shared" si="12"/>
        <v>-8.5</v>
      </c>
      <c r="AS29" s="225"/>
      <c r="AT29" s="20"/>
      <c r="AU29" s="20"/>
      <c r="AV29" s="20"/>
      <c r="AW29" s="332">
        <v>-16.7788</v>
      </c>
      <c r="AX29" s="332">
        <v>8.5</v>
      </c>
      <c r="AY29" s="332">
        <f t="shared" si="2"/>
        <v>-8.2788000000000004</v>
      </c>
      <c r="AZ29" s="20"/>
      <c r="BA29" s="20"/>
      <c r="BB29" s="20"/>
      <c r="BC29" s="20"/>
      <c r="BD29" s="301" t="e">
        <f>-SUMIF(#REF!,fonctionnement!$C29,#REF!)/1000</f>
        <v>#REF!</v>
      </c>
      <c r="BE29" s="221" t="e">
        <f>SUMIF(#REF!,fonctionnement!$C29,#REF!)/1000</f>
        <v>#REF!</v>
      </c>
      <c r="BF29" s="221" t="e">
        <f t="shared" si="13"/>
        <v>#REF!</v>
      </c>
      <c r="BG29" s="221" t="e">
        <f t="shared" si="11"/>
        <v>#REF!</v>
      </c>
      <c r="BK29" s="345">
        <v>-8.5</v>
      </c>
      <c r="BL29" s="345"/>
      <c r="BM29" s="345">
        <f t="shared" ref="BM29:BM40" si="33">SUM(BK29:BL29)</f>
        <v>-8.5</v>
      </c>
      <c r="BN29" s="225"/>
    </row>
    <row r="30" spans="1:66" outlineLevel="1" x14ac:dyDescent="0.25">
      <c r="A30" s="32">
        <v>26</v>
      </c>
      <c r="B30" s="31" t="s">
        <v>314</v>
      </c>
      <c r="C30" s="311" t="s">
        <v>346</v>
      </c>
      <c r="D30" s="47">
        <v>-7.6</v>
      </c>
      <c r="E30" s="47">
        <v>0</v>
      </c>
      <c r="F30" s="47">
        <f>SUM(D30:E30)</f>
        <v>-7.6</v>
      </c>
      <c r="G30" s="53"/>
      <c r="H30" s="53"/>
      <c r="I30" s="47">
        <v>-7.74</v>
      </c>
      <c r="J30" s="47">
        <v>0</v>
      </c>
      <c r="K30" s="54">
        <f>SUM(I30:J30)</f>
        <v>-7.74</v>
      </c>
      <c r="L30" s="54"/>
      <c r="M30" s="54"/>
      <c r="N30" s="54" t="e">
        <f>-SUMIF(#REF!,$C30,#REF!)/1000</f>
        <v>#REF!</v>
      </c>
      <c r="O30" s="54" t="e">
        <f>SUMIF(#REF!,$C30,#REF!)/1000</f>
        <v>#REF!</v>
      </c>
      <c r="P30" s="54" t="e">
        <f>SUM(N30:O30)</f>
        <v>#REF!</v>
      </c>
      <c r="Q30" s="54"/>
      <c r="R30" s="175">
        <v>-8</v>
      </c>
      <c r="S30" s="175">
        <v>0</v>
      </c>
      <c r="T30" s="176">
        <f>SUM(R30:S30)</f>
        <v>-8</v>
      </c>
      <c r="U30" s="54"/>
      <c r="V30" s="475">
        <v>-8.0495999999999999</v>
      </c>
      <c r="W30" s="475">
        <v>0</v>
      </c>
      <c r="X30" s="475">
        <f>SUM(V30:W30)</f>
        <v>-8.0495999999999999</v>
      </c>
      <c r="Y30" s="54"/>
      <c r="Z30" s="54"/>
      <c r="AA30" s="54"/>
      <c r="AB30" s="248">
        <v>-8</v>
      </c>
      <c r="AC30" s="248">
        <v>0</v>
      </c>
      <c r="AD30" s="248">
        <f>SUM(AB30:AC30)</f>
        <v>-8</v>
      </c>
      <c r="AE30" s="53"/>
      <c r="AF30" s="53"/>
      <c r="AG30" s="73"/>
      <c r="AH30" s="62"/>
      <c r="AI30" s="148">
        <v>-8.2080000000000002</v>
      </c>
      <c r="AJ30" s="148">
        <v>0</v>
      </c>
      <c r="AK30" s="148">
        <v>-8.2080000000000002</v>
      </c>
      <c r="AL30" s="20"/>
      <c r="AM30" s="20"/>
      <c r="AN30" s="20"/>
      <c r="AO30" s="20"/>
      <c r="AP30" s="339">
        <v>-8.5</v>
      </c>
      <c r="AQ30" s="339"/>
      <c r="AR30" s="339">
        <f t="shared" si="12"/>
        <v>-8.5</v>
      </c>
      <c r="AS30" s="225"/>
      <c r="AT30" s="20"/>
      <c r="AU30" s="20"/>
      <c r="AV30" s="20"/>
      <c r="AW30" s="332">
        <v>-8.4096000000000011</v>
      </c>
      <c r="AX30" s="332">
        <v>0</v>
      </c>
      <c r="AY30" s="332">
        <f t="shared" si="2"/>
        <v>-8.4096000000000011</v>
      </c>
      <c r="AZ30" s="20"/>
      <c r="BA30" s="20"/>
      <c r="BB30" s="20"/>
      <c r="BC30" s="20"/>
      <c r="BD30" s="301" t="e">
        <f>-SUMIF(#REF!,fonctionnement!$C30,#REF!)/1000</f>
        <v>#REF!</v>
      </c>
      <c r="BE30" s="221" t="e">
        <f>SUMIF(#REF!,fonctionnement!$C30,#REF!)/1000</f>
        <v>#REF!</v>
      </c>
      <c r="BF30" s="221" t="e">
        <f t="shared" si="13"/>
        <v>#REF!</v>
      </c>
      <c r="BG30" s="221" t="e">
        <f t="shared" si="11"/>
        <v>#REF!</v>
      </c>
      <c r="BK30" s="345">
        <v>-8.5</v>
      </c>
      <c r="BL30" s="345"/>
      <c r="BM30" s="345">
        <f t="shared" si="33"/>
        <v>-8.5</v>
      </c>
      <c r="BN30" s="225"/>
    </row>
    <row r="31" spans="1:66" outlineLevel="1" x14ac:dyDescent="0.25">
      <c r="A31" s="32">
        <v>27</v>
      </c>
      <c r="B31" s="31" t="s">
        <v>315</v>
      </c>
      <c r="C31" s="311" t="s">
        <v>347</v>
      </c>
      <c r="D31" s="47">
        <v>-6</v>
      </c>
      <c r="E31" s="47">
        <v>0</v>
      </c>
      <c r="F31" s="47">
        <f>SUM(D31:E31)</f>
        <v>-6</v>
      </c>
      <c r="G31" s="53"/>
      <c r="H31" s="53"/>
      <c r="I31" s="47">
        <v>-0.7</v>
      </c>
      <c r="J31" s="47">
        <v>0</v>
      </c>
      <c r="K31" s="54">
        <f>SUM(I31:J31)</f>
        <v>-0.7</v>
      </c>
      <c r="L31" s="54"/>
      <c r="M31" s="54"/>
      <c r="N31" s="54" t="e">
        <f>-SUMIF(#REF!,$C31,#REF!)/1000</f>
        <v>#REF!</v>
      </c>
      <c r="O31" s="54" t="e">
        <f>SUMIF(#REF!,$C31,#REF!)/1000</f>
        <v>#REF!</v>
      </c>
      <c r="P31" s="54" t="e">
        <f>SUM(N31:O31)</f>
        <v>#REF!</v>
      </c>
      <c r="Q31" s="54"/>
      <c r="R31" s="175">
        <v>-8</v>
      </c>
      <c r="S31" s="175">
        <v>0</v>
      </c>
      <c r="T31" s="176">
        <f>SUM(R31:S31)</f>
        <v>-8</v>
      </c>
      <c r="U31" s="54"/>
      <c r="V31" s="475">
        <v>-23.536999999999999</v>
      </c>
      <c r="W31" s="475">
        <v>10.48433</v>
      </c>
      <c r="X31" s="475">
        <f>SUM(V31:W31)</f>
        <v>-13.052669999999999</v>
      </c>
      <c r="Y31" s="54"/>
      <c r="Z31" s="54"/>
      <c r="AA31" s="54"/>
      <c r="AB31" s="248">
        <v>-0.6</v>
      </c>
      <c r="AC31" s="248">
        <v>0</v>
      </c>
      <c r="AD31" s="248">
        <f>SUM(AB31:AC31)</f>
        <v>-0.6</v>
      </c>
      <c r="AE31" s="53"/>
      <c r="AF31" s="53"/>
      <c r="AG31" s="73"/>
      <c r="AH31" s="62"/>
      <c r="AI31" s="148">
        <v>-16.984000000000002</v>
      </c>
      <c r="AJ31" s="148">
        <v>8.1066599999999998</v>
      </c>
      <c r="AK31" s="148">
        <v>-8.877340000000002</v>
      </c>
      <c r="AL31" s="20"/>
      <c r="AM31" s="20"/>
      <c r="AN31" s="20"/>
      <c r="AO31" s="20"/>
      <c r="AP31" s="339">
        <v>-6</v>
      </c>
      <c r="AQ31" s="339"/>
      <c r="AR31" s="339">
        <f t="shared" si="12"/>
        <v>-6</v>
      </c>
      <c r="AS31" s="225"/>
      <c r="AT31" s="20"/>
      <c r="AU31" s="20"/>
      <c r="AV31" s="20"/>
      <c r="AW31" s="332">
        <v>-0.72</v>
      </c>
      <c r="AX31" s="332">
        <v>0</v>
      </c>
      <c r="AY31" s="332">
        <f t="shared" si="2"/>
        <v>-0.72</v>
      </c>
      <c r="AZ31" s="20"/>
      <c r="BA31" s="20"/>
      <c r="BB31" s="20"/>
      <c r="BC31" s="20"/>
      <c r="BD31" s="301" t="e">
        <f>-SUMIF(#REF!,fonctionnement!$C31,#REF!)/1000</f>
        <v>#REF!</v>
      </c>
      <c r="BE31" s="221" t="e">
        <f>SUMIF(#REF!,fonctionnement!$C31,#REF!)/1000</f>
        <v>#REF!</v>
      </c>
      <c r="BF31" s="221" t="e">
        <f t="shared" si="13"/>
        <v>#REF!</v>
      </c>
      <c r="BG31" s="221" t="e">
        <f t="shared" si="11"/>
        <v>#REF!</v>
      </c>
      <c r="BK31" s="345">
        <v>-6</v>
      </c>
      <c r="BL31" s="345"/>
      <c r="BM31" s="345">
        <f t="shared" si="33"/>
        <v>-6</v>
      </c>
      <c r="BN31" s="225"/>
    </row>
    <row r="32" spans="1:66" outlineLevel="1" x14ac:dyDescent="0.25">
      <c r="A32" s="32">
        <v>28</v>
      </c>
      <c r="B32" s="31" t="s">
        <v>316</v>
      </c>
      <c r="C32" s="311" t="s">
        <v>608</v>
      </c>
      <c r="D32" s="47">
        <v>0</v>
      </c>
      <c r="E32" s="47">
        <v>0</v>
      </c>
      <c r="F32" s="47">
        <f>SUM(D32:E32)</f>
        <v>0</v>
      </c>
      <c r="G32" s="53"/>
      <c r="H32" s="53"/>
      <c r="I32" s="47">
        <v>0</v>
      </c>
      <c r="J32" s="47">
        <v>0</v>
      </c>
      <c r="K32" s="54">
        <f>SUM(I32:J32)</f>
        <v>0</v>
      </c>
      <c r="L32" s="54"/>
      <c r="M32" s="54"/>
      <c r="N32" s="54" t="e">
        <f>-SUMIF(#REF!,$C32,#REF!)/1000</f>
        <v>#REF!</v>
      </c>
      <c r="O32" s="54" t="e">
        <f>SUMIF(#REF!,$C32,#REF!)/1000</f>
        <v>#REF!</v>
      </c>
      <c r="P32" s="54" t="e">
        <f>SUM(N32:O32)</f>
        <v>#REF!</v>
      </c>
      <c r="Q32" s="54"/>
      <c r="R32" s="175"/>
      <c r="S32" s="175"/>
      <c r="T32" s="176">
        <f>SUM(R32:S32)</f>
        <v>0</v>
      </c>
      <c r="U32" s="54"/>
      <c r="V32" s="475">
        <v>0</v>
      </c>
      <c r="W32" s="475">
        <v>0</v>
      </c>
      <c r="X32" s="475">
        <f>SUM(V32:W32)</f>
        <v>0</v>
      </c>
      <c r="Y32" s="54"/>
      <c r="Z32" s="54"/>
      <c r="AA32" s="54"/>
      <c r="AB32" s="248">
        <v>-1</v>
      </c>
      <c r="AC32" s="248">
        <v>0</v>
      </c>
      <c r="AD32" s="248">
        <f>SUM(AB32:AC32)</f>
        <v>-1</v>
      </c>
      <c r="AE32" s="53"/>
      <c r="AF32" s="53"/>
      <c r="AG32" s="73"/>
      <c r="AH32" s="62"/>
      <c r="AI32" s="148">
        <v>0</v>
      </c>
      <c r="AJ32" s="148">
        <v>0</v>
      </c>
      <c r="AK32" s="148">
        <v>0</v>
      </c>
      <c r="AL32" s="20"/>
      <c r="AM32" s="20"/>
      <c r="AN32" s="20"/>
      <c r="AO32" s="20"/>
      <c r="AP32" s="339"/>
      <c r="AQ32" s="339"/>
      <c r="AR32" s="339">
        <f t="shared" si="12"/>
        <v>0</v>
      </c>
      <c r="AS32" s="225"/>
      <c r="AT32" s="20"/>
      <c r="AU32" s="20"/>
      <c r="AV32" s="20"/>
      <c r="AW32" s="332">
        <v>0</v>
      </c>
      <c r="AX32" s="332">
        <v>0</v>
      </c>
      <c r="AY32" s="332">
        <f t="shared" si="2"/>
        <v>0</v>
      </c>
      <c r="AZ32" s="20"/>
      <c r="BA32" s="20"/>
      <c r="BB32" s="20"/>
      <c r="BC32" s="20"/>
      <c r="BD32" s="301" t="e">
        <f>-SUMIF(#REF!,fonctionnement!$C32,#REF!)/1000</f>
        <v>#REF!</v>
      </c>
      <c r="BE32" s="221" t="e">
        <f>SUMIF(#REF!,fonctionnement!$C32,#REF!)/1000</f>
        <v>#REF!</v>
      </c>
      <c r="BF32" s="221" t="e">
        <f t="shared" si="13"/>
        <v>#REF!</v>
      </c>
      <c r="BG32" s="221" t="e">
        <f t="shared" si="11"/>
        <v>#REF!</v>
      </c>
      <c r="BK32" s="345"/>
      <c r="BL32" s="345"/>
      <c r="BM32" s="345">
        <f t="shared" si="33"/>
        <v>0</v>
      </c>
      <c r="BN32" s="225"/>
    </row>
    <row r="33" spans="1:66" x14ac:dyDescent="0.25">
      <c r="A33" s="32">
        <v>29</v>
      </c>
      <c r="B33" s="78" t="s">
        <v>317</v>
      </c>
      <c r="C33" s="317"/>
      <c r="D33" s="79">
        <f>SUM(D29:D32)</f>
        <v>-21.6</v>
      </c>
      <c r="E33" s="79">
        <f>SUM(E29:E32)</f>
        <v>0</v>
      </c>
      <c r="F33" s="79">
        <f>SUM(D33:E33)</f>
        <v>-21.6</v>
      </c>
      <c r="G33" s="53"/>
      <c r="H33" s="53"/>
      <c r="I33" s="79">
        <f>SUM(I29:I32)</f>
        <v>-25.38</v>
      </c>
      <c r="J33" s="79">
        <f>SUM(J29:J32)</f>
        <v>7.8</v>
      </c>
      <c r="K33" s="80">
        <f>SUM(I33:J33)</f>
        <v>-17.579999999999998</v>
      </c>
      <c r="L33" s="54"/>
      <c r="M33" s="54"/>
      <c r="N33" s="80" t="e">
        <f>SUM(N29:N32)</f>
        <v>#REF!</v>
      </c>
      <c r="O33" s="80" t="e">
        <f>SUM(O29:O32)</f>
        <v>#REF!</v>
      </c>
      <c r="P33" s="80" t="e">
        <f>SUM(P29:P32)</f>
        <v>#REF!</v>
      </c>
      <c r="Q33" s="54"/>
      <c r="R33" s="179">
        <f>SUM(R29:R32)</f>
        <v>-25</v>
      </c>
      <c r="S33" s="179">
        <f>SUM(S29:S32)</f>
        <v>0</v>
      </c>
      <c r="T33" s="180">
        <f>SUM(T29:T32)</f>
        <v>-25</v>
      </c>
      <c r="U33" s="54"/>
      <c r="V33" s="477">
        <f>SUM(V29:V32)</f>
        <v>-48.166199999999996</v>
      </c>
      <c r="W33" s="477">
        <f>SUM(W29:W32)</f>
        <v>19.184329999999999</v>
      </c>
      <c r="X33" s="477">
        <f>SUM(X29:X32)</f>
        <v>-28.981870000000001</v>
      </c>
      <c r="Y33" s="54"/>
      <c r="Z33" s="54">
        <f>SUM(Z29:Z32)</f>
        <v>0</v>
      </c>
      <c r="AA33" s="54"/>
      <c r="AB33" s="249">
        <f>SUM(AB29:AB32)</f>
        <v>-18.700000000000003</v>
      </c>
      <c r="AC33" s="249">
        <f>SUM(AC29:AC32)</f>
        <v>0</v>
      </c>
      <c r="AD33" s="249">
        <f>SUM(AD29:AD32)</f>
        <v>-18.700000000000003</v>
      </c>
      <c r="AE33" s="53"/>
      <c r="AF33" s="54"/>
      <c r="AG33" s="81" t="s">
        <v>412</v>
      </c>
      <c r="AH33" s="62"/>
      <c r="AI33" s="149">
        <f>SUM(AI29:AI32)</f>
        <v>-41.651600000000002</v>
      </c>
      <c r="AJ33" s="149">
        <f>SUM(AJ29:AJ32)</f>
        <v>16.606659999999998</v>
      </c>
      <c r="AK33" s="149">
        <f>AJ33+AI33</f>
        <v>-25.044940000000004</v>
      </c>
      <c r="AL33" s="81"/>
      <c r="AM33" s="81"/>
      <c r="AN33" s="81"/>
      <c r="AO33" s="81"/>
      <c r="AP33" s="340">
        <f>SUM(AP28:AP32)</f>
        <v>-23</v>
      </c>
      <c r="AQ33" s="340">
        <f>SUM(AQ28:AQ32)</f>
        <v>0</v>
      </c>
      <c r="AR33" s="340">
        <f t="shared" si="12"/>
        <v>-23</v>
      </c>
      <c r="AS33" s="226"/>
      <c r="AT33" s="81"/>
      <c r="AU33" s="81"/>
      <c r="AV33" s="81"/>
      <c r="AW33" s="333">
        <f>SUM(AW28:AW32)</f>
        <v>-26.676400000000001</v>
      </c>
      <c r="AX33" s="333">
        <f>SUM(AX28:AX32)</f>
        <v>8.5</v>
      </c>
      <c r="AY33" s="333">
        <f>AX33+AW33</f>
        <v>-18.176400000000001</v>
      </c>
      <c r="AZ33" s="81"/>
      <c r="BA33" s="81"/>
      <c r="BB33" s="81"/>
      <c r="BC33" s="81"/>
      <c r="BD33" s="302" t="e">
        <f>SUM(BD28:BD32)</f>
        <v>#REF!</v>
      </c>
      <c r="BE33" s="227" t="e">
        <f>SUM(BE28:BE32)</f>
        <v>#REF!</v>
      </c>
      <c r="BF33" s="227" t="e">
        <f t="shared" si="13"/>
        <v>#REF!</v>
      </c>
      <c r="BG33" s="221" t="e">
        <f t="shared" si="11"/>
        <v>#REF!</v>
      </c>
      <c r="BK33" s="346">
        <f>SUM(BK28:BK32)</f>
        <v>-25</v>
      </c>
      <c r="BL33" s="346">
        <f>SUM(BL28:BL32)</f>
        <v>0</v>
      </c>
      <c r="BM33" s="346">
        <f t="shared" si="33"/>
        <v>-25</v>
      </c>
      <c r="BN33" s="226"/>
    </row>
    <row r="34" spans="1:66" outlineLevel="1" x14ac:dyDescent="0.25">
      <c r="A34" s="32">
        <v>30</v>
      </c>
      <c r="B34" s="31" t="s">
        <v>14</v>
      </c>
      <c r="C34" s="311" t="s">
        <v>348</v>
      </c>
      <c r="D34" s="63">
        <v>-2</v>
      </c>
      <c r="E34" s="47">
        <v>0</v>
      </c>
      <c r="F34" s="47">
        <f t="shared" ref="F34:F40" si="34">SUM(D34:E34)</f>
        <v>-2</v>
      </c>
      <c r="G34" s="53"/>
      <c r="H34" s="53"/>
      <c r="I34" s="47">
        <v>-0.1</v>
      </c>
      <c r="J34" s="47">
        <v>0</v>
      </c>
      <c r="K34" s="54">
        <f t="shared" ref="K34:K40" si="35">SUM(I34:J34)</f>
        <v>-0.1</v>
      </c>
      <c r="L34" s="54"/>
      <c r="M34" s="54"/>
      <c r="N34" s="54" t="e">
        <f>-SUMIF(#REF!,$C34,#REF!)/1000</f>
        <v>#REF!</v>
      </c>
      <c r="O34" s="54" t="e">
        <f>SUMIF(#REF!,$C34,#REF!)/1000</f>
        <v>#REF!</v>
      </c>
      <c r="P34" s="54" t="e">
        <f>SUM(N34:O34)</f>
        <v>#REF!</v>
      </c>
      <c r="Q34" s="54"/>
      <c r="R34" s="181">
        <v>-7.15</v>
      </c>
      <c r="S34" s="175">
        <v>0</v>
      </c>
      <c r="T34" s="176">
        <f>SUM(R34:S34)</f>
        <v>-7.15</v>
      </c>
      <c r="U34" s="54"/>
      <c r="V34" s="475">
        <v>-1.0960000000000001</v>
      </c>
      <c r="W34" s="475">
        <v>0</v>
      </c>
      <c r="X34" s="475">
        <f>SUM(V34:W34)</f>
        <v>-1.0960000000000001</v>
      </c>
      <c r="Y34" s="54"/>
      <c r="Z34" s="121" t="s">
        <v>426</v>
      </c>
      <c r="AA34" s="54"/>
      <c r="AB34" s="248">
        <v>-2.7</v>
      </c>
      <c r="AC34" s="248">
        <v>0</v>
      </c>
      <c r="AD34" s="248">
        <f>SUM(AB34:AC34)</f>
        <v>-2.7</v>
      </c>
      <c r="AE34" s="53"/>
      <c r="AF34" s="53"/>
      <c r="AG34" s="82" t="s">
        <v>425</v>
      </c>
      <c r="AH34" s="62"/>
      <c r="AI34" s="148">
        <v>-1.046</v>
      </c>
      <c r="AJ34" s="148">
        <v>0</v>
      </c>
      <c r="AK34" s="148">
        <v>-1.046</v>
      </c>
      <c r="AL34" s="20"/>
      <c r="AM34" s="20"/>
      <c r="AN34" s="20"/>
      <c r="AO34" s="20"/>
      <c r="AP34" s="339">
        <v>-1.1000000000000001</v>
      </c>
      <c r="AQ34" s="339"/>
      <c r="AR34" s="339">
        <f t="shared" si="12"/>
        <v>-1.1000000000000001</v>
      </c>
      <c r="AS34" s="225"/>
      <c r="AT34" s="20"/>
      <c r="AU34" s="20"/>
      <c r="AV34" s="20"/>
      <c r="AW34" s="332">
        <v>-1.206</v>
      </c>
      <c r="AX34" s="332">
        <v>0</v>
      </c>
      <c r="AY34" s="332">
        <f t="shared" si="2"/>
        <v>-1.206</v>
      </c>
      <c r="AZ34" s="20"/>
      <c r="BA34" s="20"/>
      <c r="BB34" s="20"/>
      <c r="BC34" s="20"/>
      <c r="BD34" s="301" t="e">
        <f>-SUMIF(#REF!,fonctionnement!$C34,#REF!)/1000</f>
        <v>#REF!</v>
      </c>
      <c r="BE34" s="221" t="e">
        <f>SUMIF(#REF!,fonctionnement!$C34,#REF!)/1000</f>
        <v>#REF!</v>
      </c>
      <c r="BF34" s="221" t="e">
        <f t="shared" si="13"/>
        <v>#REF!</v>
      </c>
      <c r="BG34" s="221" t="e">
        <f t="shared" si="11"/>
        <v>#REF!</v>
      </c>
      <c r="BK34" s="345">
        <v>-1.2</v>
      </c>
      <c r="BL34" s="345"/>
      <c r="BM34" s="345">
        <f t="shared" si="33"/>
        <v>-1.2</v>
      </c>
      <c r="BN34" s="225"/>
    </row>
    <row r="35" spans="1:66" outlineLevel="2" x14ac:dyDescent="0.25">
      <c r="A35" s="32">
        <v>31</v>
      </c>
      <c r="B35" s="31" t="s">
        <v>318</v>
      </c>
      <c r="C35" s="311"/>
      <c r="D35" s="47">
        <v>-3</v>
      </c>
      <c r="E35" s="47">
        <v>0</v>
      </c>
      <c r="F35" s="47">
        <f t="shared" si="34"/>
        <v>-3</v>
      </c>
      <c r="G35" s="53"/>
      <c r="H35" s="53"/>
      <c r="I35" s="47">
        <v>0</v>
      </c>
      <c r="J35" s="47">
        <v>0</v>
      </c>
      <c r="K35" s="54">
        <f t="shared" si="35"/>
        <v>0</v>
      </c>
      <c r="L35" s="54"/>
      <c r="M35" s="54"/>
      <c r="N35" s="54" t="e">
        <f>-SUMIF(#REF!,$C35,#REF!)/1000</f>
        <v>#REF!</v>
      </c>
      <c r="O35" s="54" t="e">
        <f>SUMIF(#REF!,$C35,#REF!)/1000</f>
        <v>#REF!</v>
      </c>
      <c r="P35" s="54" t="e">
        <f>SUM(N35:O35)</f>
        <v>#REF!</v>
      </c>
      <c r="Q35" s="54"/>
      <c r="R35" s="175">
        <v>-5</v>
      </c>
      <c r="S35" s="175">
        <v>0</v>
      </c>
      <c r="T35" s="176">
        <f>SUM(R35:S35)</f>
        <v>-5</v>
      </c>
      <c r="U35" s="54"/>
      <c r="V35" s="475">
        <v>0</v>
      </c>
      <c r="W35" s="475">
        <v>0</v>
      </c>
      <c r="X35" s="475">
        <f>SUM(V35:W35)</f>
        <v>0</v>
      </c>
      <c r="Y35" s="54"/>
      <c r="Z35" s="54"/>
      <c r="AA35" s="54"/>
      <c r="AB35" s="248">
        <v>0</v>
      </c>
      <c r="AC35" s="248">
        <v>0</v>
      </c>
      <c r="AD35" s="248">
        <f>SUM(AB35:AC35)</f>
        <v>0</v>
      </c>
      <c r="AE35" s="53"/>
      <c r="AF35" s="53"/>
      <c r="AG35" s="73"/>
      <c r="AH35" s="62"/>
      <c r="AI35" s="148">
        <v>0</v>
      </c>
      <c r="AJ35" s="148">
        <v>0</v>
      </c>
      <c r="AK35" s="148">
        <v>0</v>
      </c>
      <c r="AL35" s="20"/>
      <c r="AM35" s="20"/>
      <c r="AN35" s="20"/>
      <c r="AO35" s="20"/>
      <c r="AP35" s="339"/>
      <c r="AQ35" s="339"/>
      <c r="AR35" s="339">
        <f t="shared" si="12"/>
        <v>0</v>
      </c>
      <c r="AS35" s="225"/>
      <c r="AT35" s="20"/>
      <c r="AU35" s="300" t="s">
        <v>543</v>
      </c>
      <c r="AV35" s="305"/>
      <c r="AW35" s="332">
        <v>0</v>
      </c>
      <c r="AX35" s="332">
        <v>0</v>
      </c>
      <c r="AY35" s="332">
        <f t="shared" si="2"/>
        <v>0</v>
      </c>
      <c r="AZ35" s="305"/>
      <c r="BA35" s="305"/>
      <c r="BB35" s="305"/>
      <c r="BC35" s="305"/>
      <c r="BD35" s="301" t="e">
        <f>-SUMIF(#REF!,fonctionnement!$C35,#REF!)/1000</f>
        <v>#REF!</v>
      </c>
      <c r="BE35" s="221" t="e">
        <f>SUMIF(#REF!,fonctionnement!$C35,#REF!)/1000</f>
        <v>#REF!</v>
      </c>
      <c r="BF35" s="221" t="e">
        <f t="shared" si="13"/>
        <v>#REF!</v>
      </c>
      <c r="BG35" s="221" t="e">
        <f t="shared" si="11"/>
        <v>#REF!</v>
      </c>
      <c r="BK35" s="345"/>
      <c r="BL35" s="345"/>
      <c r="BM35" s="345">
        <f t="shared" si="33"/>
        <v>0</v>
      </c>
      <c r="BN35" s="225"/>
    </row>
    <row r="36" spans="1:66" outlineLevel="1" x14ac:dyDescent="0.25">
      <c r="A36" s="32">
        <v>32</v>
      </c>
      <c r="B36" s="31" t="s">
        <v>319</v>
      </c>
      <c r="C36" s="311" t="s">
        <v>350</v>
      </c>
      <c r="D36" s="63">
        <v>-3</v>
      </c>
      <c r="E36" s="47">
        <v>0</v>
      </c>
      <c r="F36" s="47">
        <f t="shared" si="34"/>
        <v>-3</v>
      </c>
      <c r="G36" s="53"/>
      <c r="H36" s="53"/>
      <c r="I36" s="47">
        <v>0</v>
      </c>
      <c r="J36" s="47">
        <v>0</v>
      </c>
      <c r="K36" s="54">
        <f t="shared" si="35"/>
        <v>0</v>
      </c>
      <c r="L36" s="54"/>
      <c r="M36" s="54"/>
      <c r="N36" s="54" t="e">
        <f>-SUMIF(#REF!,$C36,#REF!)/1000</f>
        <v>#REF!</v>
      </c>
      <c r="O36" s="54" t="e">
        <f>SUMIF(#REF!,$C36,#REF!)/1000</f>
        <v>#REF!</v>
      </c>
      <c r="P36" s="54" t="e">
        <f>SUM(N36:O36)</f>
        <v>#REF!</v>
      </c>
      <c r="Q36" s="54"/>
      <c r="R36" s="181">
        <v>-3.3</v>
      </c>
      <c r="S36" s="175">
        <v>0</v>
      </c>
      <c r="T36" s="176">
        <f>SUM(R36:S36)</f>
        <v>-3.3</v>
      </c>
      <c r="U36" s="54"/>
      <c r="V36" s="475">
        <v>-0.16654999999999998</v>
      </c>
      <c r="W36" s="475">
        <v>0</v>
      </c>
      <c r="X36" s="475">
        <f>SUM(V36:W36)</f>
        <v>-0.16654999999999998</v>
      </c>
      <c r="Y36" s="54"/>
      <c r="Z36" s="54"/>
      <c r="AA36" s="54"/>
      <c r="AB36" s="248">
        <v>-12.8</v>
      </c>
      <c r="AC36" s="248">
        <v>0</v>
      </c>
      <c r="AD36" s="248">
        <f>SUM(AB36:AC36)</f>
        <v>-12.8</v>
      </c>
      <c r="AE36" s="53"/>
      <c r="AF36" s="53"/>
      <c r="AG36" s="73"/>
      <c r="AH36" s="62"/>
      <c r="AI36" s="148">
        <v>-1.1519000000000001</v>
      </c>
      <c r="AJ36" s="148">
        <v>0</v>
      </c>
      <c r="AK36" s="148">
        <v>-1.1519000000000001</v>
      </c>
      <c r="AL36" s="20"/>
      <c r="AM36" s="20"/>
      <c r="AN36" s="20"/>
      <c r="AO36" s="20"/>
      <c r="AP36" s="339">
        <v>-2.7</v>
      </c>
      <c r="AQ36" s="339"/>
      <c r="AR36" s="339">
        <f t="shared" si="12"/>
        <v>-2.7</v>
      </c>
      <c r="AS36" s="225"/>
      <c r="AT36" s="20"/>
      <c r="AU36" s="299" t="s">
        <v>544</v>
      </c>
      <c r="AV36" s="304"/>
      <c r="AW36" s="332">
        <v>-3.3981599999999998</v>
      </c>
      <c r="AX36" s="332">
        <v>0</v>
      </c>
      <c r="AY36" s="332">
        <f t="shared" si="2"/>
        <v>-3.3981599999999998</v>
      </c>
      <c r="AZ36" s="304"/>
      <c r="BA36" s="304"/>
      <c r="BB36" s="304"/>
      <c r="BC36" s="304"/>
      <c r="BD36" s="301" t="e">
        <f>-SUMIF(#REF!,fonctionnement!$C36,#REF!)/1000</f>
        <v>#REF!</v>
      </c>
      <c r="BE36" s="221" t="e">
        <f>SUMIF(#REF!,fonctionnement!$C36,#REF!)/1000</f>
        <v>#REF!</v>
      </c>
      <c r="BF36" s="221" t="e">
        <f t="shared" si="13"/>
        <v>#REF!</v>
      </c>
      <c r="BG36" s="221" t="e">
        <f t="shared" si="11"/>
        <v>#REF!</v>
      </c>
      <c r="BK36" s="345">
        <v>-3.2</v>
      </c>
      <c r="BL36" s="345"/>
      <c r="BM36" s="345">
        <f t="shared" si="33"/>
        <v>-3.2</v>
      </c>
      <c r="BN36" s="225"/>
    </row>
    <row r="37" spans="1:66" outlineLevel="1" x14ac:dyDescent="0.25">
      <c r="A37" s="32">
        <v>33</v>
      </c>
      <c r="B37" s="31" t="s">
        <v>320</v>
      </c>
      <c r="C37" s="311" t="s">
        <v>375</v>
      </c>
      <c r="D37" s="47">
        <v>-29</v>
      </c>
      <c r="E37" s="47">
        <v>0</v>
      </c>
      <c r="F37" s="47">
        <f t="shared" si="34"/>
        <v>-29</v>
      </c>
      <c r="G37" s="53"/>
      <c r="H37" s="53"/>
      <c r="I37" s="47">
        <v>-23.8</v>
      </c>
      <c r="J37" s="47">
        <v>5.3</v>
      </c>
      <c r="K37" s="54">
        <f t="shared" si="35"/>
        <v>-18.5</v>
      </c>
      <c r="L37" s="54"/>
      <c r="M37" s="54"/>
      <c r="N37" s="54" t="e">
        <f>-SUMIF(#REF!,$C37,#REF!)/1000</f>
        <v>#REF!</v>
      </c>
      <c r="O37" s="54" t="e">
        <f>SUMIF(#REF!,$C37,#REF!)/1000</f>
        <v>#REF!</v>
      </c>
      <c r="P37" s="54" t="e">
        <f>SUM(N37:O37)</f>
        <v>#REF!</v>
      </c>
      <c r="Q37" s="54"/>
      <c r="R37" s="175">
        <v>-4.5540099999999999</v>
      </c>
      <c r="S37" s="175">
        <v>0</v>
      </c>
      <c r="T37" s="176">
        <f>SUM(R37:S37)</f>
        <v>-4.5540099999999999</v>
      </c>
      <c r="U37" s="54"/>
      <c r="V37" s="475">
        <v>-21.72457</v>
      </c>
      <c r="W37" s="475">
        <v>7.4166099999999995</v>
      </c>
      <c r="X37" s="475">
        <f>SUM(V37:W37)</f>
        <v>-14.307960000000001</v>
      </c>
      <c r="Y37" s="54"/>
      <c r="Z37" s="54"/>
      <c r="AA37" s="54"/>
      <c r="AB37" s="248">
        <f>-24-9.8</f>
        <v>-33.799999999999997</v>
      </c>
      <c r="AC37" s="248">
        <v>0</v>
      </c>
      <c r="AD37" s="248">
        <f>SUM(AB37:AC37)</f>
        <v>-33.799999999999997</v>
      </c>
      <c r="AE37" s="53"/>
      <c r="AF37" s="53"/>
      <c r="AG37" s="73"/>
      <c r="AH37" s="62"/>
      <c r="AI37" s="148">
        <v>-13.11552</v>
      </c>
      <c r="AJ37" s="148">
        <v>0</v>
      </c>
      <c r="AK37" s="148">
        <v>-13.11552</v>
      </c>
      <c r="AL37" s="20"/>
      <c r="AM37" s="20"/>
      <c r="AN37" s="20"/>
      <c r="AO37" s="20"/>
      <c r="AP37" s="339">
        <v>-4.5999999999999996</v>
      </c>
      <c r="AQ37" s="339"/>
      <c r="AR37" s="339">
        <f t="shared" si="12"/>
        <v>-4.5999999999999996</v>
      </c>
      <c r="AS37" s="225"/>
      <c r="AT37" s="20"/>
      <c r="AU37" s="31" t="s">
        <v>545</v>
      </c>
      <c r="AV37" s="31"/>
      <c r="AW37" s="332">
        <v>-7.6518800000000002</v>
      </c>
      <c r="AX37" s="332">
        <v>0</v>
      </c>
      <c r="AY37" s="332">
        <f t="shared" si="2"/>
        <v>-7.6518800000000002</v>
      </c>
      <c r="AZ37" s="31"/>
      <c r="BA37" s="31"/>
      <c r="BB37" s="31"/>
      <c r="BC37" s="31"/>
      <c r="BD37" s="301" t="e">
        <f>-SUMIF(#REF!,fonctionnement!$C37,#REF!)/1000</f>
        <v>#REF!</v>
      </c>
      <c r="BE37" s="221" t="e">
        <f>SUMIF(#REF!,fonctionnement!$C37,#REF!)/1000</f>
        <v>#REF!</v>
      </c>
      <c r="BF37" s="221" t="e">
        <f t="shared" si="13"/>
        <v>#REF!</v>
      </c>
      <c r="BG37" s="221" t="e">
        <f t="shared" si="11"/>
        <v>#REF!</v>
      </c>
      <c r="BK37" s="345">
        <v>-4.5999999999999996</v>
      </c>
      <c r="BL37" s="345"/>
      <c r="BM37" s="345">
        <f t="shared" si="33"/>
        <v>-4.5999999999999996</v>
      </c>
      <c r="BN37" s="225"/>
    </row>
    <row r="38" spans="1:66" outlineLevel="1" x14ac:dyDescent="0.25">
      <c r="A38" s="32">
        <v>34</v>
      </c>
      <c r="B38" s="31" t="s">
        <v>321</v>
      </c>
      <c r="C38" s="316" t="s">
        <v>376</v>
      </c>
      <c r="D38" s="47">
        <v>0</v>
      </c>
      <c r="E38" s="47">
        <v>7.75</v>
      </c>
      <c r="F38" s="47">
        <f t="shared" si="34"/>
        <v>7.75</v>
      </c>
      <c r="G38" s="53"/>
      <c r="H38" s="53"/>
      <c r="I38" s="47">
        <v>0</v>
      </c>
      <c r="J38" s="47">
        <v>0</v>
      </c>
      <c r="K38" s="54">
        <f t="shared" si="35"/>
        <v>0</v>
      </c>
      <c r="L38" s="54"/>
      <c r="M38" s="54"/>
      <c r="N38" s="54" t="e">
        <f>-SUMIF(#REF!,$C38,#REF!)/1000</f>
        <v>#REF!</v>
      </c>
      <c r="O38" s="54" t="e">
        <f>SUMIF(#REF!,$C38,#REF!)/1000</f>
        <v>#REF!</v>
      </c>
      <c r="P38" s="54" t="e">
        <f>SUM(N38:O38)</f>
        <v>#REF!</v>
      </c>
      <c r="Q38" s="54"/>
      <c r="R38" s="175"/>
      <c r="S38" s="175"/>
      <c r="T38" s="176"/>
      <c r="U38" s="54"/>
      <c r="V38" s="475">
        <v>0</v>
      </c>
      <c r="W38" s="475">
        <v>0</v>
      </c>
      <c r="X38" s="475">
        <f>SUM(V38:W38)</f>
        <v>0</v>
      </c>
      <c r="Y38" s="54"/>
      <c r="Z38" s="54"/>
      <c r="AA38" s="54"/>
      <c r="AB38" s="248"/>
      <c r="AC38" s="248">
        <v>0</v>
      </c>
      <c r="AD38" s="248">
        <f>SUM(AB38:AC38)</f>
        <v>0</v>
      </c>
      <c r="AE38" s="53"/>
      <c r="AF38" s="53"/>
      <c r="AG38" s="73"/>
      <c r="AH38" s="62"/>
      <c r="AI38" s="148">
        <v>0</v>
      </c>
      <c r="AJ38" s="148">
        <v>7.4166099999999995</v>
      </c>
      <c r="AK38" s="148">
        <v>7.4166099999999995</v>
      </c>
      <c r="AL38" s="20"/>
      <c r="AM38" s="20"/>
      <c r="AN38" s="20"/>
      <c r="AO38" s="20"/>
      <c r="AP38" s="339"/>
      <c r="AQ38" s="339">
        <v>7</v>
      </c>
      <c r="AR38" s="339">
        <f t="shared" si="12"/>
        <v>7</v>
      </c>
      <c r="AS38" s="225"/>
      <c r="AT38" s="20"/>
      <c r="AU38" s="20" t="s">
        <v>546</v>
      </c>
      <c r="AV38" s="20"/>
      <c r="AW38" s="332">
        <v>0</v>
      </c>
      <c r="AX38" s="332">
        <v>3.4649800000000002</v>
      </c>
      <c r="AY38" s="332">
        <f t="shared" si="2"/>
        <v>3.4649800000000002</v>
      </c>
      <c r="AZ38" s="20"/>
      <c r="BA38" s="20"/>
      <c r="BB38" s="20"/>
      <c r="BC38" s="20"/>
      <c r="BD38" s="301" t="e">
        <f>-SUMIF(#REF!,fonctionnement!$C38,#REF!)/1000</f>
        <v>#REF!</v>
      </c>
      <c r="BE38" s="221" t="e">
        <f>SUMIF(#REF!,fonctionnement!$C38,#REF!)/1000</f>
        <v>#REF!</v>
      </c>
      <c r="BF38" s="221" t="e">
        <f t="shared" si="13"/>
        <v>#REF!</v>
      </c>
      <c r="BG38" s="221" t="e">
        <f t="shared" si="11"/>
        <v>#REF!</v>
      </c>
      <c r="BK38" s="345"/>
      <c r="BL38" s="345">
        <v>3.6</v>
      </c>
      <c r="BM38" s="345">
        <f t="shared" si="33"/>
        <v>3.6</v>
      </c>
      <c r="BN38" s="225"/>
    </row>
    <row r="39" spans="1:66" x14ac:dyDescent="0.25">
      <c r="A39" s="32">
        <v>35</v>
      </c>
      <c r="B39" s="78" t="s">
        <v>33</v>
      </c>
      <c r="C39" s="317"/>
      <c r="D39" s="79">
        <f>SUM(D34:D38)</f>
        <v>-37</v>
      </c>
      <c r="E39" s="79">
        <f>SUM(E34:E38)</f>
        <v>7.75</v>
      </c>
      <c r="F39" s="79">
        <f t="shared" si="34"/>
        <v>-29.25</v>
      </c>
      <c r="G39" s="53"/>
      <c r="H39" s="53"/>
      <c r="I39" s="79">
        <f>SUM(I34:I38)</f>
        <v>-23.900000000000002</v>
      </c>
      <c r="J39" s="79">
        <f>SUM(J34:J38)</f>
        <v>5.3</v>
      </c>
      <c r="K39" s="80">
        <f t="shared" si="35"/>
        <v>-18.600000000000001</v>
      </c>
      <c r="L39" s="54"/>
      <c r="M39" s="54"/>
      <c r="N39" s="80" t="e">
        <f>SUM(N34:N38)</f>
        <v>#REF!</v>
      </c>
      <c r="O39" s="80" t="e">
        <f>SUM(O34:O38)</f>
        <v>#REF!</v>
      </c>
      <c r="P39" s="80" t="e">
        <f>SUM(P34:P38)</f>
        <v>#REF!</v>
      </c>
      <c r="Q39" s="54"/>
      <c r="R39" s="182">
        <f>SUM(R34:R38)</f>
        <v>-20.004010000000001</v>
      </c>
      <c r="S39" s="182">
        <f>SUM(S34:S38)</f>
        <v>0</v>
      </c>
      <c r="T39" s="183">
        <f>SUM(T34:T38)</f>
        <v>-20.004010000000001</v>
      </c>
      <c r="U39" s="54"/>
      <c r="V39" s="478">
        <f>SUM(V34:V38)</f>
        <v>-22.987120000000001</v>
      </c>
      <c r="W39" s="478">
        <f>SUM(W34:W38)</f>
        <v>7.4166099999999995</v>
      </c>
      <c r="X39" s="478">
        <f>SUM(X34:X38)</f>
        <v>-15.570510000000002</v>
      </c>
      <c r="Y39" s="54"/>
      <c r="Z39" s="80">
        <f t="shared" ref="Z39" si="36">SUM(Z34:Z38)</f>
        <v>0</v>
      </c>
      <c r="AA39" s="80"/>
      <c r="AB39" s="250">
        <f>SUM(AB34:AB38)</f>
        <v>-49.3</v>
      </c>
      <c r="AC39" s="250">
        <f>SUM(AC34:AC38)</f>
        <v>0</v>
      </c>
      <c r="AD39" s="250">
        <f>SUM(AD34:AD38)</f>
        <v>-49.3</v>
      </c>
      <c r="AE39" s="80"/>
      <c r="AF39" s="80"/>
      <c r="AG39" s="81"/>
      <c r="AH39" s="62"/>
      <c r="AI39" s="229">
        <f>SUM(AI34:AI38)</f>
        <v>-15.313420000000001</v>
      </c>
      <c r="AJ39" s="229">
        <f>SUM(AJ34:AJ38)</f>
        <v>7.4166099999999995</v>
      </c>
      <c r="AK39" s="229">
        <f>AJ39+AI39</f>
        <v>-7.8968100000000012</v>
      </c>
      <c r="AL39" s="81"/>
      <c r="AM39" s="81"/>
      <c r="AN39" s="81"/>
      <c r="AO39" s="81"/>
      <c r="AP39" s="486">
        <f>SUM(AP34:AP38)</f>
        <v>-8.4</v>
      </c>
      <c r="AQ39" s="486">
        <f>SUM(AQ34:AQ38)</f>
        <v>7</v>
      </c>
      <c r="AR39" s="486">
        <f t="shared" si="12"/>
        <v>-1.4000000000000004</v>
      </c>
      <c r="AS39" s="226"/>
      <c r="AT39" s="81"/>
      <c r="AU39" s="81"/>
      <c r="AV39" s="81"/>
      <c r="AW39" s="481">
        <f>SUM(AW34:AW38)</f>
        <v>-12.25604</v>
      </c>
      <c r="AX39" s="481">
        <f>SUM(AX34:AX38)</f>
        <v>3.4649800000000002</v>
      </c>
      <c r="AY39" s="481">
        <f>AX39+AW39</f>
        <v>-8.7910599999999999</v>
      </c>
      <c r="AZ39" s="81"/>
      <c r="BA39" s="81"/>
      <c r="BB39" s="81"/>
      <c r="BC39" s="81"/>
      <c r="BD39" s="302" t="e">
        <f>SUM(BD34:BD38)</f>
        <v>#REF!</v>
      </c>
      <c r="BE39" s="227" t="e">
        <f>SUM(BE34:BE38)</f>
        <v>#REF!</v>
      </c>
      <c r="BF39" s="227" t="e">
        <f t="shared" si="13"/>
        <v>#REF!</v>
      </c>
      <c r="BG39" s="221" t="e">
        <f t="shared" si="11"/>
        <v>#REF!</v>
      </c>
      <c r="BK39" s="484">
        <f>SUM(BK34:BK38)</f>
        <v>-9</v>
      </c>
      <c r="BL39" s="484">
        <f>SUM(BL34:BL38)</f>
        <v>3.6</v>
      </c>
      <c r="BM39" s="484">
        <f t="shared" si="33"/>
        <v>-5.4</v>
      </c>
      <c r="BN39" s="226"/>
    </row>
    <row r="40" spans="1:66" x14ac:dyDescent="0.25">
      <c r="A40" s="32">
        <v>36</v>
      </c>
      <c r="B40" s="22" t="s">
        <v>322</v>
      </c>
      <c r="C40" s="309"/>
      <c r="D40" s="66">
        <f>SUM(D20,D27,D33,D39)</f>
        <v>-325.8</v>
      </c>
      <c r="E40" s="66">
        <f>SUM(E20,E27,E33,E39)</f>
        <v>43.85</v>
      </c>
      <c r="F40" s="66">
        <f t="shared" si="34"/>
        <v>-281.95</v>
      </c>
      <c r="G40" s="53"/>
      <c r="H40" s="53"/>
      <c r="I40" s="66">
        <f>SUM(I20,I27,I33,I39)</f>
        <v>-335.62899999999996</v>
      </c>
      <c r="J40" s="66">
        <f>SUM(J20,J27,J33,J39)</f>
        <v>50.199999999999996</v>
      </c>
      <c r="K40" s="67">
        <f t="shared" si="35"/>
        <v>-285.42899999999997</v>
      </c>
      <c r="L40" s="54"/>
      <c r="M40" s="54"/>
      <c r="N40" s="67" t="e">
        <f>SUM(N20,N27,N33,N39)</f>
        <v>#REF!</v>
      </c>
      <c r="O40" s="67" t="e">
        <f>SUM(O20,O27,O33,O39)</f>
        <v>#REF!</v>
      </c>
      <c r="P40" s="67" t="e">
        <f>SUM(P20,P27,P33,P39)</f>
        <v>#REF!</v>
      </c>
      <c r="Q40" s="54"/>
      <c r="R40" s="116">
        <f>SUM(R20,R27,R33,R39)</f>
        <v>-324.66201000000001</v>
      </c>
      <c r="S40" s="116">
        <f>SUM(S20,S27,S33,S39)</f>
        <v>28.2</v>
      </c>
      <c r="T40" s="118">
        <f>SUM(T20,T27,T33,T39)</f>
        <v>-296.46200999999996</v>
      </c>
      <c r="U40" s="54"/>
      <c r="V40" s="479">
        <f>SUM(V20,V27,V33,V39)</f>
        <v>-377.32252</v>
      </c>
      <c r="W40" s="479">
        <f>SUM(W20,W27,W33,W39)</f>
        <v>62.678850000000004</v>
      </c>
      <c r="X40" s="479">
        <f>SUM(X20,X27,X33,X39)</f>
        <v>-314.64367000000004</v>
      </c>
      <c r="Y40" s="54"/>
      <c r="Z40" s="67">
        <f>SUM(Z20,Z27,Z33,Z39)</f>
        <v>0</v>
      </c>
      <c r="AA40" s="67"/>
      <c r="AB40" s="239">
        <f>SUM(AB20,AB27,AB33,AB39)</f>
        <v>-328.7</v>
      </c>
      <c r="AC40" s="239">
        <f>SUM(AC20,AC27,AC33,AC39)</f>
        <v>0</v>
      </c>
      <c r="AD40" s="239">
        <f>SUM(AD20,AD27,AD33,AD39)</f>
        <v>-328.7</v>
      </c>
      <c r="AE40" s="67"/>
      <c r="AF40" s="67"/>
      <c r="AG40" s="26"/>
      <c r="AH40" s="62"/>
      <c r="AI40" s="231">
        <f>SUM(AI20,AI27,AI33,AI39)</f>
        <v>-376.15744000000001</v>
      </c>
      <c r="AJ40" s="231">
        <f>SUM(AJ20,AJ27,AJ33,AJ39)</f>
        <v>76.244230000000002</v>
      </c>
      <c r="AK40" s="231">
        <f>AJ40+AI40</f>
        <v>-299.91320999999999</v>
      </c>
      <c r="AL40" s="26"/>
      <c r="AM40" s="26"/>
      <c r="AN40" s="26"/>
      <c r="AO40" s="81"/>
      <c r="AP40" s="342">
        <f>SUM(AP20,AP27,AP33,AP39)</f>
        <v>-320.64299999999997</v>
      </c>
      <c r="AQ40" s="342">
        <f>SUM(AQ20,AQ27,AQ33,AQ39)</f>
        <v>7</v>
      </c>
      <c r="AR40" s="342">
        <f t="shared" si="12"/>
        <v>-313.64299999999997</v>
      </c>
      <c r="AS40" s="241"/>
      <c r="AT40" s="26"/>
      <c r="AU40" s="26"/>
      <c r="AV40" s="81"/>
      <c r="AW40" s="335">
        <f>SUM(AW20,AW27,AW33,AW39)</f>
        <v>-379.50977</v>
      </c>
      <c r="AX40" s="335">
        <f>SUM(AX20,AX27,AX33,AX39)</f>
        <v>60.16236</v>
      </c>
      <c r="AY40" s="335">
        <f>AX40+AW40</f>
        <v>-319.34741000000002</v>
      </c>
      <c r="AZ40" s="81"/>
      <c r="BA40" s="81"/>
      <c r="BB40" s="81"/>
      <c r="BC40" s="81"/>
      <c r="BD40" s="302" t="e">
        <f>SUM(BD20,BD27,BD33,BD39)</f>
        <v>#REF!</v>
      </c>
      <c r="BE40" s="227" t="e">
        <f>SUM(BE20,BE27,BE33,BE39)</f>
        <v>#REF!</v>
      </c>
      <c r="BF40" s="227" t="e">
        <f t="shared" si="13"/>
        <v>#REF!</v>
      </c>
      <c r="BG40" s="221" t="e">
        <f t="shared" si="11"/>
        <v>#REF!</v>
      </c>
      <c r="BK40" s="348">
        <f>SUM(BK20,BK27,BK33,BK39)</f>
        <v>-372</v>
      </c>
      <c r="BL40" s="348">
        <f>SUM(BL20,BL27,BL33,BL39)</f>
        <v>29.8</v>
      </c>
      <c r="BM40" s="348">
        <f t="shared" si="33"/>
        <v>-342.2</v>
      </c>
      <c r="BN40" s="241"/>
    </row>
    <row r="41" spans="1:66" x14ac:dyDescent="0.25">
      <c r="B41" s="59"/>
      <c r="C41" s="314"/>
      <c r="D41" s="83"/>
      <c r="E41" s="83"/>
      <c r="F41" s="83"/>
      <c r="G41" s="53"/>
      <c r="H41" s="53"/>
      <c r="I41" s="83"/>
      <c r="J41" s="83"/>
      <c r="K41" s="83"/>
      <c r="L41" s="53"/>
      <c r="M41" s="53"/>
      <c r="N41" s="47"/>
      <c r="O41" s="47"/>
      <c r="P41" s="47"/>
      <c r="Q41" s="53"/>
      <c r="R41" s="47"/>
      <c r="S41" s="47"/>
      <c r="T41" s="47"/>
      <c r="U41" s="53"/>
      <c r="V41" s="47"/>
      <c r="W41" s="47"/>
      <c r="X41" s="47"/>
      <c r="Y41" s="53"/>
      <c r="Z41" s="53"/>
      <c r="AA41" s="53"/>
      <c r="AB41" s="47"/>
      <c r="AC41" s="47"/>
      <c r="AD41" s="63"/>
      <c r="AE41" s="53"/>
      <c r="AF41" s="53"/>
    </row>
    <row r="42" spans="1:66" x14ac:dyDescent="0.25">
      <c r="B42" s="59"/>
      <c r="C42" s="314"/>
      <c r="D42" s="83"/>
      <c r="E42" s="83"/>
      <c r="F42" s="83"/>
      <c r="G42" s="53"/>
      <c r="H42" s="53"/>
      <c r="I42" s="83"/>
      <c r="J42" s="83"/>
      <c r="K42" s="83"/>
      <c r="L42" s="53"/>
      <c r="M42" s="53"/>
      <c r="N42" s="47"/>
      <c r="O42" s="47"/>
      <c r="P42" s="47"/>
      <c r="Q42" s="53"/>
      <c r="R42" s="47"/>
      <c r="S42" s="47"/>
      <c r="T42" s="47" t="e">
        <f>T40-#REF!</f>
        <v>#REF!</v>
      </c>
      <c r="U42" s="53"/>
      <c r="V42" s="47"/>
      <c r="W42" s="47"/>
      <c r="X42" s="47"/>
      <c r="Y42" s="53"/>
      <c r="Z42" s="53"/>
      <c r="AA42" s="53"/>
      <c r="AB42" s="47"/>
      <c r="AC42" s="47"/>
      <c r="AD42" s="63"/>
      <c r="AE42" s="53"/>
      <c r="AF42" s="53"/>
    </row>
    <row r="43" spans="1:66" x14ac:dyDescent="0.25">
      <c r="B43" s="59"/>
      <c r="C43" s="314"/>
      <c r="D43" s="58"/>
      <c r="E43" s="58"/>
      <c r="F43" s="58"/>
    </row>
    <row r="44" spans="1:66" x14ac:dyDescent="0.25">
      <c r="B44" s="59"/>
      <c r="C44" s="314"/>
      <c r="D44" s="84"/>
      <c r="E44" s="84"/>
      <c r="F44" s="84"/>
      <c r="I44" s="84"/>
      <c r="J44" s="84"/>
      <c r="K44" s="84"/>
      <c r="N44" s="84"/>
      <c r="O44" s="84"/>
      <c r="P44" s="84"/>
      <c r="R44" s="84"/>
      <c r="S44" s="84"/>
      <c r="T44" s="84"/>
      <c r="V44" s="84"/>
      <c r="W44" s="84"/>
      <c r="X44" s="84"/>
      <c r="AB44" s="84"/>
      <c r="AC44" s="84"/>
      <c r="AD44" s="119"/>
    </row>
    <row r="45" spans="1:66" ht="30" x14ac:dyDescent="0.25">
      <c r="B45" s="59" t="str">
        <f>B4</f>
        <v>En k€</v>
      </c>
      <c r="C45" s="314"/>
      <c r="D45" s="58"/>
      <c r="E45" s="58"/>
      <c r="F45" s="58"/>
      <c r="K45" s="85" t="str">
        <f>K4</f>
        <v>2018a</v>
      </c>
      <c r="L45" s="53"/>
      <c r="N45" s="53"/>
      <c r="O45" s="53"/>
      <c r="P45" s="85" t="str">
        <f>P4</f>
        <v>2019a</v>
      </c>
      <c r="Q45" s="53"/>
      <c r="R45" s="53"/>
      <c r="S45" s="53"/>
      <c r="T45" s="53"/>
      <c r="U45" s="53"/>
      <c r="V45" s="53"/>
      <c r="W45" s="53"/>
      <c r="X45" s="85" t="str">
        <f>V3</f>
        <v>réalisé 2020</v>
      </c>
      <c r="Y45" s="53"/>
      <c r="Z45" s="49"/>
      <c r="AA45" s="53"/>
      <c r="AB45" s="53"/>
      <c r="AC45" s="53"/>
      <c r="AD45" s="120" t="str">
        <f>AD4</f>
        <v>résultat</v>
      </c>
      <c r="AE45" s="120">
        <f>AE4</f>
        <v>0</v>
      </c>
      <c r="AF45" s="120" t="s">
        <v>323</v>
      </c>
      <c r="AG45" s="32"/>
      <c r="AK45" s="85" t="str">
        <f>AI3</f>
        <v>réalisé 2021</v>
      </c>
      <c r="AR45" s="85" t="str">
        <f>AP3</f>
        <v>Budget 2022</v>
      </c>
      <c r="AY45" s="85" t="str">
        <f>AW3</f>
        <v>réalisé 2022</v>
      </c>
      <c r="BM45" s="85" t="str">
        <f>BK3</f>
        <v>Budget 2023</v>
      </c>
    </row>
    <row r="46" spans="1:66" x14ac:dyDescent="0.25">
      <c r="B46" s="22" t="str">
        <f>B20</f>
        <v>Charges de fonctionnement</v>
      </c>
      <c r="C46" s="317"/>
      <c r="D46" s="79"/>
      <c r="E46" s="79"/>
      <c r="F46" s="79"/>
      <c r="G46" s="53"/>
      <c r="H46" s="53"/>
      <c r="I46" s="79"/>
      <c r="J46" s="79"/>
      <c r="K46" s="67">
        <f>K20</f>
        <v>-62.888999999999989</v>
      </c>
      <c r="L46" s="54"/>
      <c r="M46" s="53"/>
      <c r="N46" s="80"/>
      <c r="O46" s="80"/>
      <c r="P46" s="67" t="e">
        <f>P20</f>
        <v>#REF!</v>
      </c>
      <c r="Q46" s="54"/>
      <c r="R46" s="80"/>
      <c r="S46" s="80"/>
      <c r="T46" s="80"/>
      <c r="U46" s="54"/>
      <c r="V46" s="80"/>
      <c r="W46" s="80"/>
      <c r="X46" s="67">
        <f>X20</f>
        <v>-58.209759999999996</v>
      </c>
      <c r="Y46" s="67"/>
      <c r="Z46" s="67">
        <f t="shared" ref="Z46" si="37">Z20</f>
        <v>0</v>
      </c>
      <c r="AA46" s="54"/>
      <c r="AB46" s="80"/>
      <c r="AC46" s="80"/>
      <c r="AD46" s="67">
        <f>AD20</f>
        <v>-58.699999999999989</v>
      </c>
      <c r="AE46" s="67">
        <f t="shared" ref="AE46:AF46" si="38">AE20</f>
        <v>0</v>
      </c>
      <c r="AF46" s="67">
        <f t="shared" si="38"/>
        <v>0</v>
      </c>
      <c r="AG46" s="32"/>
      <c r="AK46" s="67">
        <f>AK20</f>
        <v>-58.624719999999996</v>
      </c>
      <c r="AR46" s="67">
        <f>AR20</f>
        <v>-68</v>
      </c>
      <c r="AY46" s="67">
        <f>AY20</f>
        <v>-74.01451999999999</v>
      </c>
      <c r="BM46" s="67">
        <f>BM20</f>
        <v>-78.2</v>
      </c>
    </row>
    <row r="47" spans="1:66" x14ac:dyDescent="0.25">
      <c r="B47" s="22" t="str">
        <f>B27</f>
        <v>Salaire et frais de personnel</v>
      </c>
      <c r="C47" s="317"/>
      <c r="D47" s="79"/>
      <c r="E47" s="79"/>
      <c r="F47" s="79"/>
      <c r="G47" s="53"/>
      <c r="H47" s="53"/>
      <c r="I47" s="79"/>
      <c r="J47" s="79"/>
      <c r="K47" s="67">
        <f>K27</f>
        <v>-186.35999999999999</v>
      </c>
      <c r="L47" s="54"/>
      <c r="M47" s="53"/>
      <c r="N47" s="80"/>
      <c r="O47" s="80"/>
      <c r="P47" s="67" t="e">
        <f>P27</f>
        <v>#REF!</v>
      </c>
      <c r="Q47" s="54"/>
      <c r="R47" s="80"/>
      <c r="S47" s="80"/>
      <c r="T47" s="80"/>
      <c r="U47" s="54"/>
      <c r="V47" s="80"/>
      <c r="W47" s="80"/>
      <c r="X47" s="67">
        <f>X27</f>
        <v>-211.88153</v>
      </c>
      <c r="Y47" s="67"/>
      <c r="Z47" s="67">
        <f t="shared" ref="Z47" si="39">Z27</f>
        <v>0</v>
      </c>
      <c r="AA47" s="54"/>
      <c r="AB47" s="80"/>
      <c r="AC47" s="80"/>
      <c r="AD47" s="67">
        <f>AD27</f>
        <v>-202</v>
      </c>
      <c r="AE47" s="67">
        <f t="shared" ref="AE47:AF47" si="40">AE27</f>
        <v>0</v>
      </c>
      <c r="AF47" s="67">
        <f t="shared" si="40"/>
        <v>0</v>
      </c>
      <c r="AG47" s="32"/>
      <c r="AK47" s="67">
        <f>AK27</f>
        <v>-208.34673999999998</v>
      </c>
      <c r="AR47" s="67">
        <f>AR27</f>
        <v>-221.24299999999999</v>
      </c>
      <c r="AY47" s="67">
        <f>AY27</f>
        <v>-218.36543</v>
      </c>
      <c r="BM47" s="67">
        <f>BM27</f>
        <v>-233.60000000000002</v>
      </c>
    </row>
    <row r="48" spans="1:66" x14ac:dyDescent="0.25">
      <c r="B48" s="22" t="str">
        <f>B33</f>
        <v>Honoraires</v>
      </c>
      <c r="C48" s="317"/>
      <c r="D48" s="79"/>
      <c r="E48" s="79"/>
      <c r="F48" s="79"/>
      <c r="G48" s="53"/>
      <c r="H48" s="53"/>
      <c r="I48" s="79"/>
      <c r="J48" s="79"/>
      <c r="K48" s="67">
        <f>K33</f>
        <v>-17.579999999999998</v>
      </c>
      <c r="L48" s="54"/>
      <c r="M48" s="53"/>
      <c r="N48" s="80"/>
      <c r="O48" s="80"/>
      <c r="P48" s="67" t="e">
        <f>P33</f>
        <v>#REF!</v>
      </c>
      <c r="Q48" s="54"/>
      <c r="R48" s="80"/>
      <c r="S48" s="80"/>
      <c r="T48" s="80"/>
      <c r="U48" s="54"/>
      <c r="V48" s="80"/>
      <c r="W48" s="80"/>
      <c r="X48" s="67">
        <f>X33</f>
        <v>-28.981870000000001</v>
      </c>
      <c r="Y48" s="67"/>
      <c r="Z48" s="67">
        <f t="shared" ref="Z48" si="41">Z33</f>
        <v>0</v>
      </c>
      <c r="AA48" s="67"/>
      <c r="AB48" s="80"/>
      <c r="AC48" s="80"/>
      <c r="AD48" s="67">
        <f>AD33</f>
        <v>-18.700000000000003</v>
      </c>
      <c r="AE48" s="67">
        <f t="shared" ref="AE48:AF48" si="42">AE33</f>
        <v>0</v>
      </c>
      <c r="AF48" s="67">
        <f t="shared" si="42"/>
        <v>0</v>
      </c>
      <c r="AG48" s="32"/>
      <c r="AK48" s="67">
        <f>AK33</f>
        <v>-25.044940000000004</v>
      </c>
      <c r="AR48" s="67">
        <f>AR33</f>
        <v>-23</v>
      </c>
      <c r="AY48" s="67">
        <f>AY33</f>
        <v>-18.176400000000001</v>
      </c>
      <c r="BM48" s="67">
        <f>BM33</f>
        <v>-25</v>
      </c>
    </row>
    <row r="49" spans="2:65" x14ac:dyDescent="0.25">
      <c r="B49" s="22" t="str">
        <f>B39</f>
        <v>Divers</v>
      </c>
      <c r="C49" s="317"/>
      <c r="D49" s="79"/>
      <c r="E49" s="79"/>
      <c r="F49" s="79"/>
      <c r="G49" s="53"/>
      <c r="H49" s="53"/>
      <c r="I49" s="79"/>
      <c r="J49" s="79"/>
      <c r="K49" s="67">
        <f>K39</f>
        <v>-18.600000000000001</v>
      </c>
      <c r="L49" s="54"/>
      <c r="M49" s="53"/>
      <c r="N49" s="80"/>
      <c r="O49" s="80"/>
      <c r="P49" s="67" t="e">
        <f>P39</f>
        <v>#REF!</v>
      </c>
      <c r="Q49" s="54"/>
      <c r="R49" s="80"/>
      <c r="S49" s="80"/>
      <c r="T49" s="80"/>
      <c r="U49" s="54"/>
      <c r="V49" s="80"/>
      <c r="W49" s="80"/>
      <c r="X49" s="67">
        <f>X39</f>
        <v>-15.570510000000002</v>
      </c>
      <c r="Y49" s="67"/>
      <c r="Z49" s="67">
        <f t="shared" ref="Z49" si="43">Z39</f>
        <v>0</v>
      </c>
      <c r="AA49" s="54"/>
      <c r="AB49" s="80"/>
      <c r="AC49" s="80"/>
      <c r="AD49" s="67">
        <f>AD39</f>
        <v>-49.3</v>
      </c>
      <c r="AE49" s="67">
        <f t="shared" ref="AE49:AF49" si="44">AE39</f>
        <v>0</v>
      </c>
      <c r="AF49" s="67">
        <f t="shared" si="44"/>
        <v>0</v>
      </c>
      <c r="AG49" s="32"/>
      <c r="AK49" s="67">
        <f>AK39</f>
        <v>-7.8968100000000012</v>
      </c>
      <c r="AR49" s="67">
        <f>AR39</f>
        <v>-1.4000000000000004</v>
      </c>
      <c r="AY49" s="67">
        <f>AY39</f>
        <v>-8.7910599999999999</v>
      </c>
      <c r="BM49" s="67">
        <f>BM39</f>
        <v>-5.4</v>
      </c>
    </row>
    <row r="50" spans="2:65" x14ac:dyDescent="0.25">
      <c r="B50" s="22" t="s">
        <v>36</v>
      </c>
      <c r="C50" s="317"/>
      <c r="D50" s="79"/>
      <c r="E50" s="79"/>
      <c r="F50" s="79"/>
      <c r="G50" s="53"/>
      <c r="H50" s="53"/>
      <c r="I50" s="79"/>
      <c r="J50" s="79"/>
      <c r="K50" s="67">
        <f>SUM(K46:K49)</f>
        <v>-285.42899999999997</v>
      </c>
      <c r="L50" s="54"/>
      <c r="M50" s="53"/>
      <c r="N50" s="80"/>
      <c r="O50" s="80"/>
      <c r="P50" s="67" t="e">
        <f t="shared" ref="P50:AF50" si="45">SUM(P46:P49)</f>
        <v>#REF!</v>
      </c>
      <c r="Q50" s="54"/>
      <c r="R50" s="80"/>
      <c r="S50" s="80"/>
      <c r="T50" s="80"/>
      <c r="U50" s="54"/>
      <c r="V50" s="80"/>
      <c r="W50" s="80"/>
      <c r="X50" s="67">
        <f t="shared" ref="X50:Z50" si="46">SUM(X46:X49)</f>
        <v>-314.64367000000004</v>
      </c>
      <c r="Y50" s="67"/>
      <c r="Z50" s="67">
        <f t="shared" si="46"/>
        <v>0</v>
      </c>
      <c r="AA50" s="54"/>
      <c r="AB50" s="80"/>
      <c r="AC50" s="80"/>
      <c r="AD50" s="67">
        <f t="shared" si="45"/>
        <v>-328.7</v>
      </c>
      <c r="AE50" s="67">
        <f t="shared" si="45"/>
        <v>0</v>
      </c>
      <c r="AF50" s="67">
        <f t="shared" si="45"/>
        <v>0</v>
      </c>
      <c r="AG50" s="32"/>
      <c r="AK50" s="67">
        <f t="shared" ref="AK50" si="47">SUM(AK46:AK49)</f>
        <v>-299.91320999999999</v>
      </c>
      <c r="AR50" s="67">
        <f t="shared" ref="AR50" si="48">SUM(AR46:AR49)</f>
        <v>-313.64299999999997</v>
      </c>
      <c r="AY50" s="67">
        <f t="shared" ref="AY50" si="49">SUM(AY46:AY49)</f>
        <v>-319.34741000000002</v>
      </c>
      <c r="BM50" s="67">
        <f t="shared" ref="BM50" si="50">SUM(BM46:BM49)</f>
        <v>-342.2</v>
      </c>
    </row>
    <row r="51" spans="2:65" x14ac:dyDescent="0.25">
      <c r="B51" s="59"/>
      <c r="C51" s="314"/>
      <c r="D51" s="58"/>
      <c r="E51" s="58"/>
      <c r="F51" s="58"/>
      <c r="AG51" s="32"/>
    </row>
    <row r="52" spans="2:65" x14ac:dyDescent="0.25">
      <c r="B52" s="59"/>
      <c r="C52" s="314"/>
      <c r="D52" s="58"/>
      <c r="E52" s="58"/>
      <c r="F52" s="58"/>
    </row>
    <row r="53" spans="2:65" x14ac:dyDescent="0.25">
      <c r="B53" s="59"/>
      <c r="C53" s="314"/>
      <c r="D53" s="58"/>
      <c r="E53" s="58"/>
      <c r="F53" s="58"/>
    </row>
    <row r="54" spans="2:65" x14ac:dyDescent="0.25">
      <c r="B54" s="59"/>
      <c r="C54" s="29"/>
      <c r="D54" s="58"/>
      <c r="E54" s="58"/>
      <c r="F54" s="58"/>
    </row>
    <row r="55" spans="2:65" x14ac:dyDescent="0.25">
      <c r="B55" s="59"/>
      <c r="C55" s="29"/>
      <c r="D55" s="58"/>
      <c r="E55" s="58"/>
      <c r="F55" s="58"/>
    </row>
    <row r="56" spans="2:65" x14ac:dyDescent="0.25">
      <c r="B56" s="59"/>
      <c r="C56" s="29"/>
      <c r="D56" s="58"/>
      <c r="E56" s="58"/>
      <c r="F56" s="58"/>
    </row>
    <row r="57" spans="2:65" x14ac:dyDescent="0.25">
      <c r="B57" s="59"/>
      <c r="C57" s="29"/>
      <c r="D57" s="58"/>
      <c r="E57" s="58"/>
      <c r="F57" s="58"/>
    </row>
    <row r="58" spans="2:65" x14ac:dyDescent="0.25">
      <c r="B58" s="59"/>
      <c r="C58" s="29"/>
      <c r="D58" s="58"/>
      <c r="E58" s="58"/>
      <c r="F58" s="58"/>
    </row>
    <row r="59" spans="2:65" x14ac:dyDescent="0.25">
      <c r="B59" s="59"/>
      <c r="C59" s="29"/>
      <c r="D59" s="58"/>
      <c r="E59" s="58"/>
      <c r="F59" s="58"/>
    </row>
    <row r="60" spans="2:65" x14ac:dyDescent="0.25">
      <c r="C60" s="29"/>
    </row>
    <row r="61" spans="2:65" x14ac:dyDescent="0.25">
      <c r="C61" s="29"/>
    </row>
    <row r="62" spans="2:65" x14ac:dyDescent="0.25">
      <c r="C62" s="29"/>
    </row>
    <row r="63" spans="2:65" x14ac:dyDescent="0.25">
      <c r="C63" s="29"/>
    </row>
    <row r="64" spans="2:65" x14ac:dyDescent="0.25">
      <c r="C64" s="29"/>
    </row>
    <row r="65" spans="3:3" x14ac:dyDescent="0.25">
      <c r="C65" s="29"/>
    </row>
    <row r="66" spans="3:3" x14ac:dyDescent="0.25">
      <c r="C66" s="29"/>
    </row>
    <row r="67" spans="3:3" x14ac:dyDescent="0.25">
      <c r="C67" s="29"/>
    </row>
    <row r="68" spans="3:3" x14ac:dyDescent="0.25">
      <c r="C68" s="29"/>
    </row>
    <row r="69" spans="3:3" x14ac:dyDescent="0.25">
      <c r="C69" s="29"/>
    </row>
    <row r="70" spans="3:3" x14ac:dyDescent="0.25">
      <c r="C70" s="29"/>
    </row>
    <row r="71" spans="3:3" x14ac:dyDescent="0.25">
      <c r="C71" s="29"/>
    </row>
    <row r="72" spans="3:3" x14ac:dyDescent="0.25">
      <c r="C72" s="29"/>
    </row>
    <row r="73" spans="3:3" x14ac:dyDescent="0.25">
      <c r="C73" s="29"/>
    </row>
    <row r="74" spans="3:3" x14ac:dyDescent="0.25">
      <c r="C74" s="29"/>
    </row>
  </sheetData>
  <sheetProtection password="95B0" sheet="1" objects="1" scenarios="1" pivotTables="0"/>
  <mergeCells count="10">
    <mergeCell ref="BK3:BM3"/>
    <mergeCell ref="AI3:AK3"/>
    <mergeCell ref="AP3:AR3"/>
    <mergeCell ref="BD3:BF3"/>
    <mergeCell ref="AW3:AY3"/>
    <mergeCell ref="R3:T3"/>
    <mergeCell ref="V3:X3"/>
    <mergeCell ref="AB3:AD3"/>
    <mergeCell ref="Z3:Z4"/>
    <mergeCell ref="AF3:AF4"/>
  </mergeCells>
  <pageMargins left="0.31496062992125984" right="0.31496062992125984" top="0.35433070866141736" bottom="0.35433070866141736" header="0.31496062992125984" footer="0.31496062992125984"/>
  <pageSetup paperSize="8" fitToHeight="2" orientation="landscape" r:id="rId1"/>
  <ignoredErrors>
    <ignoredError sqref="X10 V33:BM33 AR28" formula="1"/>
    <ignoredError sqref="C5:C38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U21"/>
  <sheetViews>
    <sheetView zoomScaleNormal="100" workbookViewId="0">
      <pane ySplit="4" topLeftCell="A5" activePane="bottomLeft" state="frozen"/>
      <selection pane="bottomLeft" activeCell="A3" sqref="A3:A4"/>
    </sheetView>
  </sheetViews>
  <sheetFormatPr baseColWidth="10" defaultRowHeight="12.75" x14ac:dyDescent="0.2"/>
  <cols>
    <col min="1" max="1" width="28.140625" style="487" customWidth="1"/>
    <col min="2" max="3" width="12.5703125" style="487" customWidth="1"/>
    <col min="4" max="4" width="13.85546875" style="487" customWidth="1"/>
    <col min="5" max="7" width="12.5703125" style="487" customWidth="1"/>
    <col min="8" max="8" width="12.140625" style="487" customWidth="1"/>
    <col min="9" max="9" width="5.42578125" style="487" customWidth="1"/>
    <col min="10" max="14" width="12.5703125" style="487" customWidth="1"/>
    <col min="15" max="16" width="5.85546875" style="487" customWidth="1"/>
    <col min="17" max="17" width="12" style="487" customWidth="1"/>
    <col min="18" max="19" width="12.5703125" style="487" customWidth="1"/>
    <col min="20" max="20" width="13.28515625" style="487" customWidth="1"/>
    <col min="21" max="21" width="51.7109375" style="487" customWidth="1"/>
    <col min="22" max="16384" width="11.42578125" style="487"/>
  </cols>
  <sheetData>
    <row r="1" spans="1:21" ht="28.5" customHeight="1" thickBot="1" x14ac:dyDescent="0.25">
      <c r="A1" s="621" t="s">
        <v>627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</row>
    <row r="2" spans="1:21" ht="13.5" thickBot="1" x14ac:dyDescent="0.25"/>
    <row r="3" spans="1:21" ht="13.5" thickBot="1" x14ac:dyDescent="0.25">
      <c r="A3" s="624" t="s">
        <v>568</v>
      </c>
      <c r="B3" s="626" t="s">
        <v>569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</row>
    <row r="4" spans="1:21" ht="51.75" thickBot="1" x14ac:dyDescent="0.25">
      <c r="A4" s="625"/>
      <c r="B4" s="576" t="s">
        <v>570</v>
      </c>
      <c r="C4" s="572" t="s">
        <v>571</v>
      </c>
      <c r="D4" s="572" t="s">
        <v>626</v>
      </c>
      <c r="E4" s="572" t="s">
        <v>572</v>
      </c>
      <c r="F4" s="572" t="s">
        <v>573</v>
      </c>
      <c r="G4" s="572" t="s">
        <v>625</v>
      </c>
      <c r="H4" s="628" t="s">
        <v>624</v>
      </c>
      <c r="I4" s="628"/>
      <c r="J4" s="572" t="s">
        <v>574</v>
      </c>
      <c r="K4" s="575" t="s">
        <v>623</v>
      </c>
      <c r="L4" s="575" t="s">
        <v>575</v>
      </c>
      <c r="M4" s="574" t="s">
        <v>622</v>
      </c>
      <c r="N4" s="629" t="s">
        <v>621</v>
      </c>
      <c r="O4" s="629"/>
      <c r="P4" s="573" t="s">
        <v>620</v>
      </c>
      <c r="Q4" s="572" t="s">
        <v>576</v>
      </c>
      <c r="R4" s="572" t="s">
        <v>619</v>
      </c>
      <c r="S4" s="571" t="s">
        <v>618</v>
      </c>
      <c r="T4" s="570" t="s">
        <v>577</v>
      </c>
      <c r="U4" s="569"/>
    </row>
    <row r="5" spans="1:21" ht="76.5" customHeight="1" x14ac:dyDescent="0.2">
      <c r="A5" s="568" t="s">
        <v>578</v>
      </c>
      <c r="B5" s="567">
        <v>64000</v>
      </c>
      <c r="C5" s="566">
        <v>4549.7199999999993</v>
      </c>
      <c r="D5" s="562">
        <f>D15*(G5/G10)</f>
        <v>2045.1239199361091</v>
      </c>
      <c r="E5" s="562">
        <v>9578.0849999999991</v>
      </c>
      <c r="F5" s="562">
        <v>4463.42</v>
      </c>
      <c r="G5" s="562">
        <f>F5+E5+C5</f>
        <v>18591.224999999999</v>
      </c>
      <c r="H5" s="630">
        <f>SUM(C5:F5)</f>
        <v>20636.348919936107</v>
      </c>
      <c r="I5" s="630"/>
      <c r="J5" s="563">
        <v>15000</v>
      </c>
      <c r="K5" s="565">
        <v>15000</v>
      </c>
      <c r="L5" s="565">
        <f>32402</f>
        <v>32402</v>
      </c>
      <c r="M5" s="564">
        <f>H5</f>
        <v>20636.348919936107</v>
      </c>
      <c r="N5" s="631">
        <v>0</v>
      </c>
      <c r="O5" s="631"/>
      <c r="P5" s="549">
        <f>H5/(B5-(J5-K5))</f>
        <v>0.32244295187400168</v>
      </c>
      <c r="Q5" s="563">
        <f>L5-M5</f>
        <v>11765.651080063893</v>
      </c>
      <c r="R5" s="562">
        <f>K5</f>
        <v>15000</v>
      </c>
      <c r="S5" s="561">
        <f>(K5+L5)-(P5*(K5+L5))</f>
        <v>32117.559195268572</v>
      </c>
      <c r="T5" s="560" t="s">
        <v>579</v>
      </c>
      <c r="U5" s="522"/>
    </row>
    <row r="6" spans="1:21" ht="76.5" x14ac:dyDescent="0.2">
      <c r="A6" s="556" t="s">
        <v>580</v>
      </c>
      <c r="B6" s="559">
        <v>160000</v>
      </c>
      <c r="C6" s="554">
        <v>118824.49000000003</v>
      </c>
      <c r="D6" s="548">
        <f>D15*(G6/G10)</f>
        <v>16404.429503445761</v>
      </c>
      <c r="E6" s="548">
        <v>9578.0849999999991</v>
      </c>
      <c r="F6" s="548">
        <v>20722.100000000002</v>
      </c>
      <c r="G6" s="548">
        <f>C6+E6+F6</f>
        <v>149124.67500000005</v>
      </c>
      <c r="H6" s="632">
        <f>C6+D6+E6+F6</f>
        <v>165529.10450344579</v>
      </c>
      <c r="I6" s="632"/>
      <c r="J6" s="552">
        <v>65000</v>
      </c>
      <c r="K6" s="551">
        <v>65000</v>
      </c>
      <c r="L6" s="551">
        <v>0</v>
      </c>
      <c r="M6" s="550">
        <v>0</v>
      </c>
      <c r="N6" s="633">
        <v>50000</v>
      </c>
      <c r="O6" s="633"/>
      <c r="P6" s="549">
        <f>H6/(B6-(J6-K6))</f>
        <v>1.0345569031465363</v>
      </c>
      <c r="Q6" s="552">
        <v>0</v>
      </c>
      <c r="R6" s="548">
        <v>0</v>
      </c>
      <c r="S6" s="547">
        <v>0</v>
      </c>
      <c r="T6" s="558" t="s">
        <v>581</v>
      </c>
      <c r="U6" s="522"/>
    </row>
    <row r="7" spans="1:21" ht="76.5" x14ac:dyDescent="0.2">
      <c r="A7" s="556" t="s">
        <v>582</v>
      </c>
      <c r="B7" s="555">
        <v>50000</v>
      </c>
      <c r="C7" s="554">
        <v>25667.290000000005</v>
      </c>
      <c r="D7" s="548">
        <f>D15*(G7/G10)</f>
        <v>2823.5250091877706</v>
      </c>
      <c r="E7" s="548">
        <v>0</v>
      </c>
      <c r="F7" s="548">
        <v>0</v>
      </c>
      <c r="G7" s="548">
        <f>F7+E7+C7</f>
        <v>25667.290000000005</v>
      </c>
      <c r="H7" s="632">
        <f>SUM(C7:F7)</f>
        <v>28490.815009187776</v>
      </c>
      <c r="I7" s="632"/>
      <c r="J7" s="552">
        <v>20000</v>
      </c>
      <c r="K7" s="551">
        <v>20000</v>
      </c>
      <c r="L7" s="551">
        <v>1996</v>
      </c>
      <c r="M7" s="550">
        <f>L7</f>
        <v>1996</v>
      </c>
      <c r="N7" s="634">
        <f>K7</f>
        <v>20000</v>
      </c>
      <c r="O7" s="634"/>
      <c r="P7" s="549">
        <f>H7/(B7-(J7-K7))</f>
        <v>0.56981630018375551</v>
      </c>
      <c r="Q7" s="548">
        <f>L7-M7</f>
        <v>0</v>
      </c>
      <c r="R7" s="548">
        <v>0</v>
      </c>
      <c r="S7" s="547">
        <f>K7-(P7*K7)</f>
        <v>8603.6739963248892</v>
      </c>
      <c r="T7" s="557" t="s">
        <v>583</v>
      </c>
      <c r="U7" s="522"/>
    </row>
    <row r="8" spans="1:21" ht="42" customHeight="1" x14ac:dyDescent="0.2">
      <c r="A8" s="556" t="s">
        <v>584</v>
      </c>
      <c r="B8" s="555">
        <v>200000</v>
      </c>
      <c r="C8" s="554">
        <v>134077.83999999997</v>
      </c>
      <c r="D8" s="548">
        <f>D15*(G8/G10)</f>
        <v>18933.4007197233</v>
      </c>
      <c r="E8" s="548">
        <v>12770.78</v>
      </c>
      <c r="F8" s="553">
        <v>25265.700000000004</v>
      </c>
      <c r="G8" s="548">
        <f>F8+E8+C8</f>
        <v>172114.31999999998</v>
      </c>
      <c r="H8" s="632">
        <f>SUM(C8:F8)</f>
        <v>191047.72071972329</v>
      </c>
      <c r="I8" s="632"/>
      <c r="J8" s="552">
        <v>121000</v>
      </c>
      <c r="K8" s="551">
        <v>100000</v>
      </c>
      <c r="L8" s="551">
        <v>0</v>
      </c>
      <c r="M8" s="550">
        <v>0</v>
      </c>
      <c r="N8" s="634">
        <v>100000</v>
      </c>
      <c r="O8" s="634"/>
      <c r="P8" s="549">
        <f>H8/(B8-(J8-K8))</f>
        <v>1.0673057023448229</v>
      </c>
      <c r="Q8" s="548">
        <v>0</v>
      </c>
      <c r="R8" s="548">
        <v>0</v>
      </c>
      <c r="S8" s="547">
        <v>0</v>
      </c>
      <c r="T8" s="546" t="s">
        <v>585</v>
      </c>
      <c r="U8" s="522"/>
    </row>
    <row r="9" spans="1:21" ht="42" customHeight="1" thickBot="1" x14ac:dyDescent="0.25">
      <c r="A9" s="545" t="s">
        <v>586</v>
      </c>
      <c r="B9" s="544">
        <v>39500</v>
      </c>
      <c r="C9" s="543"/>
      <c r="D9" s="538">
        <f>D15*(G9/G10)</f>
        <v>569.88534770705053</v>
      </c>
      <c r="E9" s="542"/>
      <c r="F9" s="538">
        <v>5180.55</v>
      </c>
      <c r="G9" s="538">
        <f>F9</f>
        <v>5180.55</v>
      </c>
      <c r="H9" s="635"/>
      <c r="I9" s="636"/>
      <c r="J9" s="541">
        <v>30000</v>
      </c>
      <c r="K9" s="541">
        <v>30000</v>
      </c>
      <c r="L9" s="540"/>
      <c r="M9" s="540"/>
      <c r="N9" s="637"/>
      <c r="O9" s="638"/>
      <c r="P9" s="539"/>
      <c r="Q9" s="539"/>
      <c r="R9" s="538">
        <v>0</v>
      </c>
      <c r="S9" s="537">
        <v>0</v>
      </c>
      <c r="T9" s="536"/>
      <c r="U9" s="522"/>
    </row>
    <row r="10" spans="1:21" ht="19.5" customHeight="1" thickBot="1" x14ac:dyDescent="0.25">
      <c r="A10" s="535" t="s">
        <v>592</v>
      </c>
      <c r="B10" s="534">
        <f>SUM(B5:B9)</f>
        <v>513500</v>
      </c>
      <c r="C10" s="533"/>
      <c r="D10" s="531">
        <f>SUM(D5:D9)</f>
        <v>40776.364499999996</v>
      </c>
      <c r="E10" s="532"/>
      <c r="F10" s="532"/>
      <c r="G10" s="531">
        <f>SUM(G5:G9)</f>
        <v>370678.06</v>
      </c>
      <c r="H10" s="639">
        <f>SUM(H5:I9)</f>
        <v>405703.98915229295</v>
      </c>
      <c r="I10" s="640"/>
      <c r="J10" s="530">
        <f>SUM(J5:J9)</f>
        <v>251000</v>
      </c>
      <c r="K10" s="530">
        <f>SUM(K5:K9)</f>
        <v>230000</v>
      </c>
      <c r="L10" s="529"/>
      <c r="M10" s="529"/>
      <c r="N10" s="528"/>
      <c r="O10" s="527"/>
      <c r="P10" s="526">
        <f>H10/(B10-(J10-K10))</f>
        <v>0.82376444497927503</v>
      </c>
      <c r="Q10" s="525">
        <f>SUM(Q5:Q9)</f>
        <v>11765.651080063893</v>
      </c>
      <c r="R10" s="525">
        <f>SUM(R5:R9)</f>
        <v>15000</v>
      </c>
      <c r="S10" s="524">
        <f>SUM(S5:S9)</f>
        <v>40721.233191593463</v>
      </c>
      <c r="T10" s="523"/>
      <c r="U10" s="522"/>
    </row>
    <row r="11" spans="1:21" ht="57" customHeight="1" x14ac:dyDescent="0.2">
      <c r="A11" s="521" t="s">
        <v>587</v>
      </c>
      <c r="B11" s="520"/>
      <c r="C11" s="519">
        <v>0</v>
      </c>
      <c r="D11" s="517">
        <v>0</v>
      </c>
      <c r="E11" s="517">
        <v>0</v>
      </c>
      <c r="F11" s="517">
        <v>0</v>
      </c>
      <c r="G11" s="517">
        <v>0</v>
      </c>
      <c r="H11" s="644">
        <f>SUM(D11:G11)</f>
        <v>0</v>
      </c>
      <c r="I11" s="644"/>
      <c r="J11" s="517">
        <v>0</v>
      </c>
      <c r="K11" s="517">
        <v>0</v>
      </c>
      <c r="L11" s="517">
        <v>15000</v>
      </c>
      <c r="M11" s="517">
        <v>0</v>
      </c>
      <c r="N11" s="644">
        <v>0</v>
      </c>
      <c r="O11" s="644"/>
      <c r="P11" s="517"/>
      <c r="Q11" s="518">
        <v>15000</v>
      </c>
      <c r="R11" s="517">
        <v>0</v>
      </c>
      <c r="S11" s="516">
        <v>15000</v>
      </c>
      <c r="T11" s="515" t="s">
        <v>617</v>
      </c>
      <c r="U11" s="504"/>
    </row>
    <row r="12" spans="1:21" ht="74.25" customHeight="1" x14ac:dyDescent="0.2">
      <c r="A12" s="510" t="s">
        <v>616</v>
      </c>
      <c r="B12" s="509">
        <v>500000</v>
      </c>
      <c r="C12" s="508">
        <v>459486.22</v>
      </c>
      <c r="D12" s="513">
        <f>G12*0.15</f>
        <v>68922.93299999999</v>
      </c>
      <c r="E12" s="507">
        <v>0</v>
      </c>
      <c r="F12" s="512"/>
      <c r="G12" s="507">
        <f>C12+E12</f>
        <v>459486.22</v>
      </c>
      <c r="H12" s="645">
        <f>F12+E12+D12+C12</f>
        <v>528409.15299999993</v>
      </c>
      <c r="I12" s="646"/>
      <c r="J12" s="507">
        <v>50000</v>
      </c>
      <c r="K12" s="507">
        <v>30000</v>
      </c>
      <c r="L12" s="507">
        <v>0</v>
      </c>
      <c r="M12" s="506">
        <v>0</v>
      </c>
      <c r="N12" s="645">
        <v>30000</v>
      </c>
      <c r="O12" s="646"/>
      <c r="P12" s="511"/>
      <c r="Q12" s="514"/>
      <c r="R12" s="507">
        <v>0</v>
      </c>
      <c r="S12" s="506">
        <f>R12</f>
        <v>0</v>
      </c>
      <c r="T12" s="505" t="s">
        <v>615</v>
      </c>
      <c r="U12" s="504"/>
    </row>
    <row r="13" spans="1:21" ht="57" customHeight="1" x14ac:dyDescent="0.2">
      <c r="A13" s="510" t="s">
        <v>588</v>
      </c>
      <c r="B13" s="509">
        <v>68000</v>
      </c>
      <c r="C13" s="511"/>
      <c r="D13" s="513">
        <f>0.15*G13</f>
        <v>2147.2199999999998</v>
      </c>
      <c r="E13" s="512"/>
      <c r="F13" s="507">
        <v>14314.8</v>
      </c>
      <c r="G13" s="507">
        <f>F13+E13+C13</f>
        <v>14314.8</v>
      </c>
      <c r="H13" s="645">
        <f>F13+D13</f>
        <v>16462.02</v>
      </c>
      <c r="I13" s="646"/>
      <c r="J13" s="507">
        <v>34000</v>
      </c>
      <c r="K13" s="507">
        <v>0</v>
      </c>
      <c r="L13" s="507">
        <v>2377</v>
      </c>
      <c r="M13" s="506">
        <v>2377</v>
      </c>
      <c r="N13" s="645">
        <v>0</v>
      </c>
      <c r="O13" s="646"/>
      <c r="P13" s="511"/>
      <c r="Q13" s="508">
        <v>0</v>
      </c>
      <c r="R13" s="507">
        <v>0</v>
      </c>
      <c r="S13" s="506">
        <f>Q13+R13</f>
        <v>0</v>
      </c>
      <c r="T13" s="505" t="s">
        <v>589</v>
      </c>
      <c r="U13" s="504"/>
    </row>
    <row r="14" spans="1:21" ht="57" customHeight="1" thickBot="1" x14ac:dyDescent="0.25">
      <c r="A14" s="510" t="s">
        <v>590</v>
      </c>
      <c r="B14" s="509"/>
      <c r="C14" s="508"/>
      <c r="D14" s="507">
        <v>0</v>
      </c>
      <c r="E14" s="507">
        <v>0</v>
      </c>
      <c r="F14" s="507"/>
      <c r="G14" s="507">
        <v>0</v>
      </c>
      <c r="H14" s="641"/>
      <c r="I14" s="642"/>
      <c r="J14" s="507"/>
      <c r="K14" s="507">
        <v>0</v>
      </c>
      <c r="L14" s="507">
        <v>20000</v>
      </c>
      <c r="M14" s="506">
        <v>0</v>
      </c>
      <c r="N14" s="641">
        <v>0</v>
      </c>
      <c r="O14" s="642"/>
      <c r="P14" s="508"/>
      <c r="Q14" s="508">
        <v>20000</v>
      </c>
      <c r="R14" s="507">
        <v>0</v>
      </c>
      <c r="S14" s="506">
        <f>Q14</f>
        <v>20000</v>
      </c>
      <c r="T14" s="505" t="s">
        <v>591</v>
      </c>
      <c r="U14" s="504"/>
    </row>
    <row r="15" spans="1:21" ht="26.25" thickBot="1" x14ac:dyDescent="0.25">
      <c r="A15" s="503" t="s">
        <v>614</v>
      </c>
      <c r="B15" s="502"/>
      <c r="C15" s="499"/>
      <c r="D15" s="499">
        <v>40776.364499999989</v>
      </c>
      <c r="E15" s="499">
        <v>31926.949999999997</v>
      </c>
      <c r="F15" s="499">
        <v>69946.570000000007</v>
      </c>
      <c r="G15" s="499"/>
      <c r="H15" s="643"/>
      <c r="I15" s="643"/>
      <c r="J15" s="501"/>
      <c r="K15" s="500"/>
      <c r="L15" s="499"/>
      <c r="M15" s="499"/>
      <c r="N15" s="643"/>
      <c r="O15" s="643"/>
      <c r="P15" s="499"/>
      <c r="Q15" s="499"/>
      <c r="R15" s="499"/>
      <c r="S15" s="499"/>
      <c r="T15" s="498"/>
      <c r="U15" s="497"/>
    </row>
    <row r="16" spans="1:21" x14ac:dyDescent="0.2">
      <c r="A16" s="489"/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96"/>
      <c r="O16" s="496"/>
      <c r="P16" s="496"/>
      <c r="Q16" s="496"/>
      <c r="R16" s="495"/>
      <c r="S16" s="495"/>
      <c r="T16" s="488"/>
      <c r="U16" s="488"/>
    </row>
    <row r="17" spans="1:21" ht="25.5" x14ac:dyDescent="0.2">
      <c r="A17" s="489"/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94" t="s">
        <v>613</v>
      </c>
      <c r="O17" s="491"/>
      <c r="P17" s="491"/>
      <c r="Q17" s="493">
        <f>Q11+Q14+Q10+R10</f>
        <v>61765.651080063893</v>
      </c>
      <c r="R17" s="489"/>
      <c r="S17" s="489"/>
      <c r="T17" s="488"/>
      <c r="U17" s="488"/>
    </row>
    <row r="18" spans="1:21" ht="38.25" x14ac:dyDescent="0.2">
      <c r="A18" s="489"/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92" t="s">
        <v>612</v>
      </c>
      <c r="O18" s="491"/>
      <c r="P18" s="491"/>
      <c r="Q18" s="490">
        <f>R10+Q11+Q14</f>
        <v>50000</v>
      </c>
      <c r="R18" s="489"/>
      <c r="S18" s="489"/>
      <c r="T18" s="488"/>
      <c r="U18" s="488"/>
    </row>
    <row r="19" spans="1:21" x14ac:dyDescent="0.2">
      <c r="A19" s="489"/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8"/>
      <c r="U19" s="488"/>
    </row>
    <row r="20" spans="1:21" x14ac:dyDescent="0.2">
      <c r="A20" s="489"/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8"/>
      <c r="U20" s="488"/>
    </row>
    <row r="21" spans="1:21" x14ac:dyDescent="0.2">
      <c r="A21" s="488"/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</row>
  </sheetData>
  <sheetProtection password="95B0" sheet="1" objects="1" scenarios="1"/>
  <mergeCells count="26">
    <mergeCell ref="H14:I14"/>
    <mergeCell ref="N14:O14"/>
    <mergeCell ref="H15:I15"/>
    <mergeCell ref="N15:O15"/>
    <mergeCell ref="H11:I11"/>
    <mergeCell ref="N11:O11"/>
    <mergeCell ref="H12:I12"/>
    <mergeCell ref="N12:O12"/>
    <mergeCell ref="H13:I13"/>
    <mergeCell ref="N13:O13"/>
    <mergeCell ref="H8:I8"/>
    <mergeCell ref="N8:O8"/>
    <mergeCell ref="H9:I9"/>
    <mergeCell ref="N9:O9"/>
    <mergeCell ref="H10:I10"/>
    <mergeCell ref="H5:I5"/>
    <mergeCell ref="N5:O5"/>
    <mergeCell ref="H6:I6"/>
    <mergeCell ref="N6:O6"/>
    <mergeCell ref="H7:I7"/>
    <mergeCell ref="N7:O7"/>
    <mergeCell ref="A1:T1"/>
    <mergeCell ref="A3:A4"/>
    <mergeCell ref="B3:T3"/>
    <mergeCell ref="H4:I4"/>
    <mergeCell ref="N4:O4"/>
  </mergeCells>
  <pageMargins left="0.7" right="0.7" top="0.75" bottom="0.75" header="0.3" footer="0.3"/>
  <pageSetup paperSize="9" scale="70" orientation="landscape" r:id="rId1"/>
  <ignoredErrors>
    <ignoredError sqref="G6:I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16</vt:i4>
      </vt:variant>
    </vt:vector>
  </HeadingPairs>
  <TitlesOfParts>
    <vt:vector size="22" baseType="lpstr">
      <vt:lpstr>Global</vt:lpstr>
      <vt:lpstr>ressources</vt:lpstr>
      <vt:lpstr>pôles &amp; actions</vt:lpstr>
      <vt:lpstr>Instances</vt:lpstr>
      <vt:lpstr>fonctionnement</vt:lpstr>
      <vt:lpstr>Focus CPO 2022</vt:lpstr>
      <vt:lpstr>fonctionnement!Print_Area</vt:lpstr>
      <vt:lpstr>Global!Print_Area</vt:lpstr>
      <vt:lpstr>Instances!Print_Area</vt:lpstr>
      <vt:lpstr>'pôles &amp; actions'!Print_Area</vt:lpstr>
      <vt:lpstr>ressources!Print_Area</vt:lpstr>
      <vt:lpstr>ressources!zimp0011</vt:lpstr>
      <vt:lpstr>ressources!zimp01</vt:lpstr>
      <vt:lpstr>ressources!zimp020</vt:lpstr>
      <vt:lpstr>'pôles &amp; actions'!zimp21</vt:lpstr>
      <vt:lpstr>'pôles &amp; actions'!zimp22</vt:lpstr>
      <vt:lpstr>'pôles &amp; actions'!zimp23</vt:lpstr>
      <vt:lpstr>'pôles &amp; actions'!zimp24</vt:lpstr>
      <vt:lpstr>'pôles &amp; actions'!zimp25</vt:lpstr>
      <vt:lpstr>'pôles &amp; actions'!zimp26</vt:lpstr>
      <vt:lpstr>fonctionnement!zimp30</vt:lpstr>
      <vt:lpstr>Instances!zimp30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BAUDY Clément</dc:creator>
  <cp:lastModifiedBy>Informatique FFS</cp:lastModifiedBy>
  <cp:lastPrinted>2023-07-22T09:38:06Z</cp:lastPrinted>
  <dcterms:created xsi:type="dcterms:W3CDTF">2021-01-28T08:28:18Z</dcterms:created>
  <dcterms:modified xsi:type="dcterms:W3CDTF">2023-07-26T07:54:45Z</dcterms:modified>
</cp:coreProperties>
</file>